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45" windowWidth="19440" windowHeight="4845"/>
  </bookViews>
  <sheets>
    <sheet name="Приложение №1" sheetId="4" r:id="rId1"/>
  </sheets>
  <definedNames>
    <definedName name="_xlnm._FilterDatabase" localSheetId="0" hidden="1">'Приложение №1'!$S$8:$AK$9</definedName>
  </definedNames>
  <calcPr calcId="145621"/>
</workbook>
</file>

<file path=xl/calcChain.xml><?xml version="1.0" encoding="utf-8"?>
<calcChain xmlns="http://schemas.openxmlformats.org/spreadsheetml/2006/main">
  <c r="AI394" i="4" l="1"/>
  <c r="S9" i="4"/>
  <c r="P115" i="4" l="1"/>
  <c r="P111" i="4"/>
  <c r="P116" i="4"/>
  <c r="P155" i="4" l="1"/>
  <c r="P268" i="4"/>
  <c r="P222" i="4"/>
  <c r="P33" i="4"/>
  <c r="P203" i="4" l="1"/>
  <c r="P201" i="4"/>
  <c r="P343" i="4" l="1"/>
  <c r="P31" i="4" l="1"/>
  <c r="P18" i="4"/>
  <c r="P350" i="4"/>
  <c r="P348" i="4"/>
  <c r="Q315" i="4"/>
  <c r="P242" i="4"/>
  <c r="P216" i="4"/>
  <c r="P173" i="4"/>
  <c r="P169" i="4"/>
  <c r="P113" i="4"/>
  <c r="P98" i="4"/>
  <c r="P95" i="4"/>
  <c r="P74" i="4"/>
  <c r="P50" i="4"/>
  <c r="P23" i="4" l="1"/>
  <c r="P423" i="4" l="1"/>
  <c r="P413" i="4"/>
  <c r="P379" i="4"/>
  <c r="P374" i="4"/>
  <c r="Q47" i="4" l="1"/>
  <c r="P382" i="4" l="1"/>
  <c r="P16" i="4" l="1"/>
  <c r="P421" i="4" l="1"/>
  <c r="Q104" i="4" l="1"/>
  <c r="Q20" i="4"/>
  <c r="P140" i="4"/>
  <c r="P325" i="4"/>
  <c r="Q326" i="4"/>
  <c r="P331" i="4" l="1"/>
  <c r="Q290" i="4"/>
  <c r="Q279" i="4"/>
  <c r="Q197" i="4" l="1"/>
  <c r="P160" i="4" l="1"/>
  <c r="P159" i="4" s="1"/>
  <c r="Q161" i="4"/>
  <c r="Q160" i="4" s="1"/>
  <c r="Q159" i="4" s="1"/>
  <c r="Q408" i="4"/>
  <c r="Q406" i="4"/>
  <c r="P416" i="4"/>
  <c r="P381" i="4"/>
  <c r="P380" i="4" s="1"/>
  <c r="O381" i="4"/>
  <c r="O380" i="4" s="1"/>
  <c r="Q382" i="4"/>
  <c r="Q381" i="4" s="1"/>
  <c r="Q380" i="4" s="1"/>
  <c r="P366" i="4"/>
  <c r="Q356" i="4"/>
  <c r="P340" i="4"/>
  <c r="P284" i="4"/>
  <c r="P281" i="4"/>
  <c r="P276" i="4"/>
  <c r="P114" i="4"/>
  <c r="R258" i="4" l="1"/>
  <c r="R208" i="4"/>
  <c r="Q201" i="4"/>
  <c r="P193" i="4"/>
  <c r="Q158" i="4"/>
  <c r="Q151" i="4"/>
  <c r="R130" i="4"/>
  <c r="Q98" i="4"/>
  <c r="Q91" i="4"/>
  <c r="P100" i="4"/>
  <c r="Q87" i="4"/>
  <c r="Q83" i="4"/>
  <c r="P63" i="4"/>
  <c r="Q50" i="4"/>
  <c r="Q43" i="4"/>
  <c r="Q26" i="4"/>
  <c r="Q38" i="4"/>
  <c r="P310" i="4" l="1"/>
  <c r="P68" i="4"/>
  <c r="P57" i="4"/>
  <c r="Q35" i="4"/>
  <c r="P372" i="4"/>
  <c r="P375" i="4"/>
  <c r="Q376" i="4"/>
  <c r="P344" i="4"/>
  <c r="O344" i="4"/>
  <c r="Q345" i="4"/>
  <c r="Q344" i="4" s="1"/>
  <c r="Q337" i="4"/>
  <c r="Q335" i="4"/>
  <c r="P329" i="4" l="1"/>
  <c r="P328" i="4" s="1"/>
  <c r="O329" i="4"/>
  <c r="O328" i="4" s="1"/>
  <c r="Q330" i="4"/>
  <c r="Q329" i="4" s="1"/>
  <c r="Q328" i="4" s="1"/>
  <c r="P256" i="4"/>
  <c r="Q257" i="4"/>
  <c r="Q256" i="4" s="1"/>
  <c r="Q137" i="4" l="1"/>
  <c r="P141" i="4"/>
  <c r="O141" i="4"/>
  <c r="Q142" i="4"/>
  <c r="Q141" i="4" s="1"/>
  <c r="Q100" i="4"/>
  <c r="O73" i="4"/>
  <c r="Q63" i="4" l="1"/>
  <c r="Q60" i="4"/>
  <c r="P56" i="4"/>
  <c r="O56" i="4"/>
  <c r="Q55" i="4"/>
  <c r="Q16" i="4"/>
  <c r="Q57" i="4" l="1"/>
  <c r="Q56" i="4" s="1"/>
  <c r="P437" i="4"/>
  <c r="P436" i="4" s="1"/>
  <c r="P434" i="4" s="1"/>
  <c r="P432" i="4"/>
  <c r="Q431" i="4"/>
  <c r="P431" i="4"/>
  <c r="Q430" i="4"/>
  <c r="P430" i="4"/>
  <c r="Q428" i="4"/>
  <c r="P428" i="4"/>
  <c r="Q427" i="4"/>
  <c r="P427" i="4"/>
  <c r="Q426" i="4"/>
  <c r="AJ426" i="4" s="1"/>
  <c r="P426" i="4"/>
  <c r="Q425" i="4"/>
  <c r="P425" i="4"/>
  <c r="Q424" i="4"/>
  <c r="P424" i="4"/>
  <c r="P422" i="4"/>
  <c r="P420" i="4"/>
  <c r="P418" i="4"/>
  <c r="Q417" i="4"/>
  <c r="P417" i="4"/>
  <c r="P415" i="4"/>
  <c r="P412" i="4"/>
  <c r="P410" i="4"/>
  <c r="Q407" i="4"/>
  <c r="P407" i="4"/>
  <c r="Q405" i="4"/>
  <c r="P405" i="4"/>
  <c r="P403" i="4"/>
  <c r="Q400" i="4"/>
  <c r="Q399" i="4" s="1"/>
  <c r="P399" i="4"/>
  <c r="Q398" i="4"/>
  <c r="Q397" i="4" s="1"/>
  <c r="P397" i="4"/>
  <c r="P392" i="4"/>
  <c r="P391" i="4" s="1"/>
  <c r="P390" i="4" s="1"/>
  <c r="P389" i="4"/>
  <c r="Q388" i="4"/>
  <c r="P388" i="4"/>
  <c r="Q387" i="4"/>
  <c r="P387" i="4"/>
  <c r="P385" i="4"/>
  <c r="P384" i="4" s="1"/>
  <c r="P383" i="4" s="1"/>
  <c r="P378" i="4"/>
  <c r="P377" i="4" s="1"/>
  <c r="Q375" i="4"/>
  <c r="P370" i="4"/>
  <c r="P365" i="4"/>
  <c r="P364" i="4" s="1"/>
  <c r="P363" i="4" s="1"/>
  <c r="Q360" i="4"/>
  <c r="Q359" i="4" s="1"/>
  <c r="P359" i="4"/>
  <c r="P358" i="4" s="1"/>
  <c r="Q355" i="4"/>
  <c r="P355" i="4"/>
  <c r="Q354" i="4"/>
  <c r="P354" i="4"/>
  <c r="Q353" i="4"/>
  <c r="AD353" i="4" s="1"/>
  <c r="P353" i="4"/>
  <c r="P351" i="4"/>
  <c r="P349" i="4"/>
  <c r="P347" i="4"/>
  <c r="P342" i="4"/>
  <c r="P341" i="4" s="1"/>
  <c r="P339" i="4"/>
  <c r="P338" i="4" s="1"/>
  <c r="Q336" i="4"/>
  <c r="P336" i="4"/>
  <c r="Q334" i="4"/>
  <c r="P334" i="4"/>
  <c r="Q332" i="4"/>
  <c r="P332" i="4"/>
  <c r="Q331" i="4"/>
  <c r="Q325" i="4"/>
  <c r="Q324" i="4"/>
  <c r="P324" i="4"/>
  <c r="P323" i="4"/>
  <c r="Q322" i="4"/>
  <c r="P322" i="4"/>
  <c r="P320" i="4"/>
  <c r="P317" i="4"/>
  <c r="P316" i="4" s="1"/>
  <c r="Q314" i="4"/>
  <c r="P314" i="4"/>
  <c r="P312" i="4"/>
  <c r="Q305" i="4"/>
  <c r="Q304" i="4" s="1"/>
  <c r="P304" i="4"/>
  <c r="P302" i="4"/>
  <c r="P298" i="4"/>
  <c r="P297" i="4" s="1"/>
  <c r="P296" i="4" s="1"/>
  <c r="P292" i="4"/>
  <c r="P291" i="4" s="1"/>
  <c r="Q289" i="4"/>
  <c r="P289" i="4"/>
  <c r="Q288" i="4"/>
  <c r="P288" i="4"/>
  <c r="Q287" i="4"/>
  <c r="X287" i="4" s="1"/>
  <c r="P287" i="4"/>
  <c r="P283" i="4"/>
  <c r="P282" i="4" s="1"/>
  <c r="P280" i="4"/>
  <c r="Q278" i="4"/>
  <c r="P278" i="4"/>
  <c r="P277" i="4" s="1"/>
  <c r="P275" i="4"/>
  <c r="P274" i="4" s="1"/>
  <c r="P271" i="4"/>
  <c r="P269" i="4" s="1"/>
  <c r="P267" i="4"/>
  <c r="P266" i="4" s="1"/>
  <c r="P264" i="4"/>
  <c r="P263" i="4" s="1"/>
  <c r="Q261" i="4"/>
  <c r="Q260" i="4" s="1"/>
  <c r="Q259" i="4" s="1"/>
  <c r="T259" i="4" s="1"/>
  <c r="P260" i="4"/>
  <c r="P259" i="4" s="1"/>
  <c r="Q255" i="4"/>
  <c r="Q254" i="4" s="1"/>
  <c r="Q253" i="4" s="1"/>
  <c r="P254" i="4"/>
  <c r="P253" i="4" s="1"/>
  <c r="P251" i="4"/>
  <c r="P250" i="4" s="1"/>
  <c r="P248" i="4"/>
  <c r="P244" i="4"/>
  <c r="P243" i="4" s="1"/>
  <c r="P241" i="4"/>
  <c r="P239" i="4"/>
  <c r="Q235" i="4"/>
  <c r="P235" i="4"/>
  <c r="Q234" i="4"/>
  <c r="P234" i="4"/>
  <c r="Q233" i="4"/>
  <c r="Q232" i="4" s="1"/>
  <c r="P232" i="4"/>
  <c r="P230" i="4"/>
  <c r="P227" i="4"/>
  <c r="P225" i="4"/>
  <c r="P224" i="4" s="1"/>
  <c r="P221" i="4"/>
  <c r="P220" i="4" s="1"/>
  <c r="P218" i="4"/>
  <c r="P217" i="4" s="1"/>
  <c r="P215" i="4"/>
  <c r="P214" i="4" s="1"/>
  <c r="Q212" i="4"/>
  <c r="Q211" i="4" s="1"/>
  <c r="P211" i="4"/>
  <c r="P209" i="4"/>
  <c r="Q205" i="4"/>
  <c r="P205" i="4"/>
  <c r="Q204" i="4"/>
  <c r="P204" i="4"/>
  <c r="P202" i="4"/>
  <c r="Q200" i="4"/>
  <c r="P200" i="4"/>
  <c r="Q196" i="4"/>
  <c r="P196" i="4"/>
  <c r="Q195" i="4"/>
  <c r="P195" i="4"/>
  <c r="P192" i="4"/>
  <c r="P190" i="4"/>
  <c r="P189" i="4" s="1"/>
  <c r="Q186" i="4"/>
  <c r="P186" i="4"/>
  <c r="Q185" i="4"/>
  <c r="P185" i="4"/>
  <c r="Q184" i="4"/>
  <c r="T184" i="4" s="1"/>
  <c r="P184" i="4"/>
  <c r="Q181" i="4"/>
  <c r="Q180" i="4" s="1"/>
  <c r="Q179" i="4" s="1"/>
  <c r="P180" i="4"/>
  <c r="P179" i="4" s="1"/>
  <c r="Q178" i="4"/>
  <c r="Q177" i="4" s="1"/>
  <c r="Q176" i="4" s="1"/>
  <c r="Q175" i="4" s="1"/>
  <c r="AK175" i="4" s="1"/>
  <c r="P177" i="4"/>
  <c r="P176" i="4" s="1"/>
  <c r="P172" i="4"/>
  <c r="P171" i="4" s="1"/>
  <c r="P170" i="4" s="1"/>
  <c r="P168" i="4"/>
  <c r="P167" i="4" s="1"/>
  <c r="P166" i="4" s="1"/>
  <c r="P163" i="4"/>
  <c r="P162" i="4" s="1"/>
  <c r="Q157" i="4"/>
  <c r="P157" i="4"/>
  <c r="Q156" i="4"/>
  <c r="P156" i="4"/>
  <c r="P154" i="4"/>
  <c r="P153" i="4" s="1"/>
  <c r="Q150" i="4"/>
  <c r="P150" i="4"/>
  <c r="Q149" i="4"/>
  <c r="P149" i="4"/>
  <c r="P148" i="4"/>
  <c r="Q147" i="4"/>
  <c r="P147" i="4"/>
  <c r="Q146" i="4"/>
  <c r="P146" i="4"/>
  <c r="P139" i="4"/>
  <c r="P138" i="4" s="1"/>
  <c r="Q136" i="4"/>
  <c r="P136" i="4"/>
  <c r="P133" i="4"/>
  <c r="Q127" i="4"/>
  <c r="P127" i="4"/>
  <c r="Q125" i="4"/>
  <c r="P125" i="4"/>
  <c r="P124" i="4" s="1"/>
  <c r="Q124" i="4"/>
  <c r="Q123" i="4"/>
  <c r="Q122" i="4"/>
  <c r="Q121" i="4"/>
  <c r="Q119" i="4"/>
  <c r="P119" i="4"/>
  <c r="Q118" i="4"/>
  <c r="P118" i="4"/>
  <c r="Q117" i="4"/>
  <c r="P117" i="4"/>
  <c r="P112" i="4"/>
  <c r="P110" i="4"/>
  <c r="P106" i="4"/>
  <c r="P105" i="4" s="1"/>
  <c r="Q103" i="4"/>
  <c r="P103" i="4"/>
  <c r="Q102" i="4"/>
  <c r="P102" i="4"/>
  <c r="Q99" i="4"/>
  <c r="P99" i="4"/>
  <c r="Q97" i="4"/>
  <c r="P97" i="4"/>
  <c r="P96" i="4" s="1"/>
  <c r="P94" i="4"/>
  <c r="P93" i="4" s="1"/>
  <c r="Q90" i="4"/>
  <c r="P90" i="4"/>
  <c r="Q89" i="4"/>
  <c r="P89" i="4"/>
  <c r="P88" i="4" s="1"/>
  <c r="Q88" i="4"/>
  <c r="W88" i="4" s="1"/>
  <c r="Q86" i="4"/>
  <c r="Q85" i="4" s="1"/>
  <c r="Q84" i="4" s="1"/>
  <c r="V84" i="4" s="1"/>
  <c r="V9" i="4" s="1"/>
  <c r="P86" i="4"/>
  <c r="P85" i="4" s="1"/>
  <c r="P84" i="4" s="1"/>
  <c r="Q82" i="4"/>
  <c r="P82" i="4"/>
  <c r="P81" i="4" s="1"/>
  <c r="P80" i="4" s="1"/>
  <c r="Q81" i="4"/>
  <c r="Q80" i="4" s="1"/>
  <c r="U80" i="4" s="1"/>
  <c r="U9" i="4" s="1"/>
  <c r="P78" i="4"/>
  <c r="P77" i="4" s="1"/>
  <c r="P75" i="4"/>
  <c r="P71" i="4" s="1"/>
  <c r="P72" i="4"/>
  <c r="P67" i="4"/>
  <c r="P66" i="4" s="1"/>
  <c r="P65" i="4" s="1"/>
  <c r="P64" i="4" s="1"/>
  <c r="Q62" i="4"/>
  <c r="Q61" i="4" s="1"/>
  <c r="P62" i="4"/>
  <c r="P61" i="4" s="1"/>
  <c r="Q59" i="4"/>
  <c r="Q58" i="4" s="1"/>
  <c r="P59" i="4"/>
  <c r="P58" i="4" s="1"/>
  <c r="Q54" i="4"/>
  <c r="Q53" i="4" s="1"/>
  <c r="P54" i="4"/>
  <c r="P53" i="4" s="1"/>
  <c r="P52" i="4" s="1"/>
  <c r="P51" i="4" s="1"/>
  <c r="Q49" i="4"/>
  <c r="P49" i="4"/>
  <c r="P48" i="4" s="1"/>
  <c r="Q48" i="4"/>
  <c r="Q46" i="4"/>
  <c r="P46" i="4"/>
  <c r="P44" i="4"/>
  <c r="Q42" i="4"/>
  <c r="P42" i="4"/>
  <c r="Q37" i="4"/>
  <c r="Q36" i="4" s="1"/>
  <c r="P37" i="4"/>
  <c r="P36" i="4" s="1"/>
  <c r="Q34" i="4"/>
  <c r="P34" i="4"/>
  <c r="P32" i="4"/>
  <c r="P30" i="4"/>
  <c r="Q25" i="4"/>
  <c r="Q24" i="4" s="1"/>
  <c r="P25" i="4"/>
  <c r="P24" i="4" s="1"/>
  <c r="P22" i="4"/>
  <c r="P21" i="4" s="1"/>
  <c r="Q19" i="4"/>
  <c r="P19" i="4"/>
  <c r="P17" i="4"/>
  <c r="Q15" i="4"/>
  <c r="P15" i="4"/>
  <c r="P123" i="4" l="1"/>
  <c r="P122" i="4"/>
  <c r="P121" i="4" s="1"/>
  <c r="P419" i="4"/>
  <c r="P41" i="4"/>
  <c r="P152" i="4"/>
  <c r="P199" i="4"/>
  <c r="P198" i="4" s="1"/>
  <c r="P109" i="4"/>
  <c r="P108" i="4" s="1"/>
  <c r="P402" i="4"/>
  <c r="P29" i="4"/>
  <c r="P273" i="4"/>
  <c r="P14" i="4"/>
  <c r="P13" i="4" s="1"/>
  <c r="P12" i="4" s="1"/>
  <c r="P346" i="4"/>
  <c r="P327" i="4" s="1"/>
  <c r="P409" i="4"/>
  <c r="P357" i="4"/>
  <c r="P188" i="4"/>
  <c r="P262" i="4"/>
  <c r="P132" i="4"/>
  <c r="P131" i="4" s="1"/>
  <c r="P130" i="4" s="1"/>
  <c r="P129" i="4" s="1"/>
  <c r="P208" i="4"/>
  <c r="P229" i="4"/>
  <c r="P247" i="4"/>
  <c r="P246" i="4" s="1"/>
  <c r="P28" i="4"/>
  <c r="P27" i="4" s="1"/>
  <c r="Q96" i="4"/>
  <c r="Q145" i="4"/>
  <c r="P414" i="4"/>
  <c r="Q52" i="4"/>
  <c r="P40" i="4"/>
  <c r="P39" i="4" s="1"/>
  <c r="P145" i="4"/>
  <c r="P144" i="4" s="1"/>
  <c r="P238" i="4"/>
  <c r="P237" i="4" s="1"/>
  <c r="P301" i="4"/>
  <c r="P300" i="4" s="1"/>
  <c r="P295" i="4" s="1"/>
  <c r="P294" i="4" s="1"/>
  <c r="P101" i="4"/>
  <c r="P435" i="4"/>
  <c r="P433" i="4"/>
  <c r="P174" i="4"/>
  <c r="P165" i="4" s="1"/>
  <c r="P70" i="4"/>
  <c r="P92" i="4"/>
  <c r="P213" i="4"/>
  <c r="P309" i="4"/>
  <c r="P319" i="4"/>
  <c r="P369" i="4"/>
  <c r="P368" i="4" s="1"/>
  <c r="P396" i="4"/>
  <c r="Q396" i="4"/>
  <c r="T396" i="4" s="1"/>
  <c r="P258" i="4"/>
  <c r="R259" i="4" s="1"/>
  <c r="P223" i="4"/>
  <c r="Q174" i="4"/>
  <c r="Q358" i="4"/>
  <c r="Q357" i="4"/>
  <c r="AH357" i="4" s="1"/>
  <c r="N209" i="4"/>
  <c r="P143" i="4" l="1"/>
  <c r="Z145" i="4"/>
  <c r="P183" i="4"/>
  <c r="Q51" i="4"/>
  <c r="S51" i="4" s="1"/>
  <c r="P362" i="4"/>
  <c r="P361" i="4" s="1"/>
  <c r="P401" i="4"/>
  <c r="P395" i="4" s="1"/>
  <c r="P394" i="4" s="1"/>
  <c r="P308" i="4"/>
  <c r="P307" i="4" s="1"/>
  <c r="P306" i="4" s="1"/>
  <c r="P207" i="4"/>
  <c r="P182" i="4" s="1"/>
  <c r="P69" i="4"/>
  <c r="P11" i="4" s="1"/>
  <c r="N416" i="4"/>
  <c r="N413" i="4"/>
  <c r="N411" i="4"/>
  <c r="O404" i="4"/>
  <c r="Q404" i="4" s="1"/>
  <c r="Q403" i="4" s="1"/>
  <c r="Q402" i="4" s="1"/>
  <c r="N397" i="4"/>
  <c r="L397" i="4"/>
  <c r="O398" i="4"/>
  <c r="O397" i="4" s="1"/>
  <c r="O400" i="4"/>
  <c r="O399" i="4" s="1"/>
  <c r="N399" i="4"/>
  <c r="L399" i="4"/>
  <c r="L396" i="4" s="1"/>
  <c r="N310" i="4"/>
  <c r="O321" i="4"/>
  <c r="Q321" i="4" s="1"/>
  <c r="Q320" i="4" s="1"/>
  <c r="Q319" i="4" s="1"/>
  <c r="O318" i="4"/>
  <c r="Q318" i="4" s="1"/>
  <c r="Q317" i="4" s="1"/>
  <c r="Q316" i="4" s="1"/>
  <c r="O313" i="4"/>
  <c r="Q313" i="4" s="1"/>
  <c r="Q312" i="4" s="1"/>
  <c r="O340" i="4"/>
  <c r="Q340" i="4" s="1"/>
  <c r="Q339" i="4" s="1"/>
  <c r="Q338" i="4" s="1"/>
  <c r="N286" i="4"/>
  <c r="N216" i="4"/>
  <c r="N284" i="4"/>
  <c r="O268" i="4"/>
  <c r="Q268" i="4" s="1"/>
  <c r="Q267" i="4" s="1"/>
  <c r="Q266" i="4" s="1"/>
  <c r="N249" i="4"/>
  <c r="P10" i="4" l="1"/>
  <c r="P9" i="4" s="1"/>
  <c r="O396" i="4"/>
  <c r="N396" i="4"/>
  <c r="N395" i="4" s="1"/>
  <c r="N231" i="4"/>
  <c r="N232" i="4"/>
  <c r="L232" i="4"/>
  <c r="O233" i="4"/>
  <c r="O232" i="4" s="1"/>
  <c r="N211" i="4" l="1"/>
  <c r="N208" i="4" s="1"/>
  <c r="L211" i="4"/>
  <c r="O212" i="4"/>
  <c r="O211" i="4" s="1"/>
  <c r="N68" i="4"/>
  <c r="N352" i="4" l="1"/>
  <c r="N350" i="4"/>
  <c r="N348" i="4"/>
  <c r="O348" i="4" s="1"/>
  <c r="Q348" i="4" s="1"/>
  <c r="Q347" i="4" s="1"/>
  <c r="N115" i="4" l="1"/>
  <c r="N111" i="4"/>
  <c r="N260" i="4"/>
  <c r="N259" i="4" s="1"/>
  <c r="L260" i="4"/>
  <c r="L259" i="4" s="1"/>
  <c r="O261" i="4"/>
  <c r="O260" i="4" s="1"/>
  <c r="O259" i="4" s="1"/>
  <c r="O352" i="4" l="1"/>
  <c r="Q352" i="4" s="1"/>
  <c r="Q351" i="4" s="1"/>
  <c r="O413" i="4"/>
  <c r="O411" i="4"/>
  <c r="Q411" i="4" s="1"/>
  <c r="Q410" i="4" s="1"/>
  <c r="N393" i="4"/>
  <c r="O386" i="4"/>
  <c r="N359" i="4"/>
  <c r="N358" i="4" s="1"/>
  <c r="O360" i="4"/>
  <c r="O359" i="4" s="1"/>
  <c r="O272" i="4"/>
  <c r="Q272" i="4" s="1"/>
  <c r="Q271" i="4" s="1"/>
  <c r="N228" i="4"/>
  <c r="N177" i="4"/>
  <c r="N176" i="4" s="1"/>
  <c r="L177" i="4"/>
  <c r="O178" i="4"/>
  <c r="O177" i="4" s="1"/>
  <c r="O176" i="4" s="1"/>
  <c r="N180" i="4"/>
  <c r="N179" i="4" s="1"/>
  <c r="L180" i="4"/>
  <c r="L179" i="4" s="1"/>
  <c r="L174" i="4" s="1"/>
  <c r="O181" i="4"/>
  <c r="O180" i="4" s="1"/>
  <c r="O179" i="4" s="1"/>
  <c r="N116" i="4"/>
  <c r="O175" i="4" l="1"/>
  <c r="Q413" i="4"/>
  <c r="Q412" i="4" s="1"/>
  <c r="Q409" i="4" s="1"/>
  <c r="Q386" i="4"/>
  <c r="Q385" i="4" s="1"/>
  <c r="Q384" i="4" s="1"/>
  <c r="Q383" i="4" s="1"/>
  <c r="AH383" i="4" s="1"/>
  <c r="Q269" i="4"/>
  <c r="T269" i="4" s="1"/>
  <c r="Q270" i="4"/>
  <c r="O174" i="4"/>
  <c r="O357" i="4"/>
  <c r="O358" i="4"/>
  <c r="N174" i="4"/>
  <c r="N357" i="4"/>
  <c r="O79" i="4"/>
  <c r="Q79" i="4" s="1"/>
  <c r="Q78" i="4" s="1"/>
  <c r="Q77" i="4" s="1"/>
  <c r="O113" i="4" l="1"/>
  <c r="Q113" i="4" s="1"/>
  <c r="Q112" i="4" s="1"/>
  <c r="O438" i="4" l="1"/>
  <c r="Q438" i="4" l="1"/>
  <c r="Q437" i="4" s="1"/>
  <c r="Q436" i="4" s="1"/>
  <c r="Q434" i="4" s="1"/>
  <c r="N163" i="4"/>
  <c r="N162" i="4" s="1"/>
  <c r="Q435" i="4" l="1"/>
  <c r="T435" i="4" s="1"/>
  <c r="Q433" i="4"/>
  <c r="O164" i="4"/>
  <c r="Q164" i="4" s="1"/>
  <c r="Q163" i="4" l="1"/>
  <c r="Q162" i="4"/>
  <c r="L254" i="4"/>
  <c r="L253" i="4" s="1"/>
  <c r="N254" i="4"/>
  <c r="N253" i="4" s="1"/>
  <c r="O255" i="4"/>
  <c r="O254" i="4" s="1"/>
  <c r="O253" i="4" s="1"/>
  <c r="N241" i="4"/>
  <c r="O116" i="4"/>
  <c r="Q116" i="4" s="1"/>
  <c r="O115" i="4"/>
  <c r="Q115" i="4" s="1"/>
  <c r="O111" i="4"/>
  <c r="Q111" i="4" s="1"/>
  <c r="Q110" i="4" s="1"/>
  <c r="N423" i="4"/>
  <c r="N421" i="4"/>
  <c r="Q114" i="4" l="1"/>
  <c r="Q109" i="4" s="1"/>
  <c r="Q108" i="4" s="1"/>
  <c r="O114" i="4"/>
  <c r="O112" i="4"/>
  <c r="N112" i="4"/>
  <c r="L304" i="4"/>
  <c r="N304" i="4"/>
  <c r="O305" i="4"/>
  <c r="O304" i="4" s="1"/>
  <c r="O437" i="4" l="1"/>
  <c r="N437" i="4"/>
  <c r="O436" i="4"/>
  <c r="N436" i="4"/>
  <c r="O434" i="4"/>
  <c r="O435" i="4" s="1"/>
  <c r="N434" i="4"/>
  <c r="N435" i="4" s="1"/>
  <c r="O433" i="4"/>
  <c r="R433" i="4" s="1"/>
  <c r="N433" i="4"/>
  <c r="O431" i="4"/>
  <c r="O430" i="4" s="1"/>
  <c r="O428" i="4"/>
  <c r="N428" i="4"/>
  <c r="O427" i="4"/>
  <c r="N427" i="4"/>
  <c r="N422" i="4"/>
  <c r="N420" i="4"/>
  <c r="O417" i="4"/>
  <c r="N415" i="4"/>
  <c r="O412" i="4"/>
  <c r="N412" i="4"/>
  <c r="O410" i="4"/>
  <c r="N410" i="4"/>
  <c r="O409" i="4"/>
  <c r="O407" i="4"/>
  <c r="N407" i="4"/>
  <c r="O405" i="4"/>
  <c r="N405" i="4"/>
  <c r="O403" i="4"/>
  <c r="N403" i="4"/>
  <c r="O402" i="4"/>
  <c r="N402" i="4"/>
  <c r="N392" i="4"/>
  <c r="N391" i="4" s="1"/>
  <c r="N390" i="4" s="1"/>
  <c r="O388" i="4"/>
  <c r="O387" i="4" s="1"/>
  <c r="O385" i="4"/>
  <c r="N385" i="4"/>
  <c r="O384" i="4"/>
  <c r="N384" i="4"/>
  <c r="N383" i="4" s="1"/>
  <c r="O379" i="4"/>
  <c r="Q379" i="4" s="1"/>
  <c r="N378" i="4"/>
  <c r="N377" i="4" s="1"/>
  <c r="O375" i="4"/>
  <c r="O374" i="4"/>
  <c r="Q374" i="4" s="1"/>
  <c r="N374" i="4"/>
  <c r="O373" i="4"/>
  <c r="N372" i="4"/>
  <c r="N370" i="4"/>
  <c r="O366" i="4"/>
  <c r="N365" i="4"/>
  <c r="N364" i="4" s="1"/>
  <c r="N363" i="4" s="1"/>
  <c r="O355" i="4"/>
  <c r="N355" i="4"/>
  <c r="O354" i="4"/>
  <c r="N354" i="4"/>
  <c r="O353" i="4"/>
  <c r="N353" i="4"/>
  <c r="O351" i="4"/>
  <c r="N351" i="4"/>
  <c r="N349" i="4"/>
  <c r="O347" i="4"/>
  <c r="N347" i="4"/>
  <c r="N342" i="4"/>
  <c r="N341" i="4" s="1"/>
  <c r="O339" i="4"/>
  <c r="N339" i="4"/>
  <c r="N338" i="4" s="1"/>
  <c r="O338" i="4"/>
  <c r="O336" i="4"/>
  <c r="N336" i="4"/>
  <c r="O334" i="4"/>
  <c r="N334" i="4"/>
  <c r="O332" i="4"/>
  <c r="N332" i="4"/>
  <c r="O331" i="4"/>
  <c r="O325" i="4"/>
  <c r="N325" i="4"/>
  <c r="O324" i="4"/>
  <c r="N324" i="4"/>
  <c r="O322" i="4"/>
  <c r="O320" i="4"/>
  <c r="N320" i="4"/>
  <c r="O317" i="4"/>
  <c r="N317" i="4"/>
  <c r="O316" i="4"/>
  <c r="N316" i="4"/>
  <c r="O314" i="4"/>
  <c r="N314" i="4"/>
  <c r="O312" i="4"/>
  <c r="N312" i="4"/>
  <c r="N309" i="4" s="1"/>
  <c r="O311" i="4"/>
  <c r="N302" i="4"/>
  <c r="N301" i="4" s="1"/>
  <c r="N300" i="4" s="1"/>
  <c r="N298" i="4"/>
  <c r="N297" i="4" s="1"/>
  <c r="N296" i="4" s="1"/>
  <c r="N292" i="4"/>
  <c r="N291" i="4" s="1"/>
  <c r="O289" i="4"/>
  <c r="N289" i="4"/>
  <c r="O288" i="4"/>
  <c r="N288" i="4"/>
  <c r="O287" i="4"/>
  <c r="N287" i="4"/>
  <c r="N285" i="4"/>
  <c r="N283" i="4"/>
  <c r="N280" i="4"/>
  <c r="O278" i="4"/>
  <c r="N278" i="4"/>
  <c r="N277" i="4" s="1"/>
  <c r="N275" i="4"/>
  <c r="N274" i="4" s="1"/>
  <c r="O271" i="4"/>
  <c r="O269" i="4" s="1"/>
  <c r="N271" i="4"/>
  <c r="O270" i="4"/>
  <c r="N269" i="4"/>
  <c r="O267" i="4"/>
  <c r="O266" i="4" s="1"/>
  <c r="N267" i="4"/>
  <c r="N266" i="4" s="1"/>
  <c r="N264" i="4"/>
  <c r="N263" i="4" s="1"/>
  <c r="N251" i="4"/>
  <c r="N250" i="4" s="1"/>
  <c r="N248" i="4"/>
  <c r="N244" i="4"/>
  <c r="N243" i="4" s="1"/>
  <c r="N239" i="4"/>
  <c r="N238" i="4" s="1"/>
  <c r="O235" i="4"/>
  <c r="N235" i="4"/>
  <c r="O234" i="4"/>
  <c r="N234" i="4"/>
  <c r="N230" i="4"/>
  <c r="N229" i="4" s="1"/>
  <c r="N227" i="4"/>
  <c r="O226" i="4"/>
  <c r="N225" i="4"/>
  <c r="N224" i="4" s="1"/>
  <c r="N221" i="4"/>
  <c r="N220" i="4" s="1"/>
  <c r="N218" i="4"/>
  <c r="N217" i="4" s="1"/>
  <c r="N215" i="4"/>
  <c r="N214" i="4" s="1"/>
  <c r="O205" i="4"/>
  <c r="N205" i="4"/>
  <c r="O204" i="4"/>
  <c r="N204" i="4"/>
  <c r="O203" i="4"/>
  <c r="N202" i="4"/>
  <c r="O200" i="4"/>
  <c r="N200" i="4"/>
  <c r="N199" i="4" s="1"/>
  <c r="O196" i="4"/>
  <c r="N196" i="4"/>
  <c r="O195" i="4"/>
  <c r="N195" i="4"/>
  <c r="O194" i="4"/>
  <c r="N193" i="4"/>
  <c r="N192" i="4" s="1"/>
  <c r="N190" i="4"/>
  <c r="N189" i="4" s="1"/>
  <c r="O186" i="4"/>
  <c r="O185" i="4" s="1"/>
  <c r="O184" i="4" s="1"/>
  <c r="N186" i="4"/>
  <c r="N185" i="4" s="1"/>
  <c r="N184" i="4" s="1"/>
  <c r="N172" i="4"/>
  <c r="N171" i="4" s="1"/>
  <c r="N170" i="4" s="1"/>
  <c r="N168" i="4"/>
  <c r="N167" i="4" s="1"/>
  <c r="N166" i="4" s="1"/>
  <c r="O157" i="4"/>
  <c r="N157" i="4"/>
  <c r="O156" i="4"/>
  <c r="N156" i="4"/>
  <c r="N154" i="4"/>
  <c r="N153" i="4" s="1"/>
  <c r="O150" i="4"/>
  <c r="N150" i="4"/>
  <c r="O149" i="4"/>
  <c r="N149" i="4"/>
  <c r="O147" i="4"/>
  <c r="O146" i="4" s="1"/>
  <c r="N139" i="4"/>
  <c r="N138" i="4" s="1"/>
  <c r="O136" i="4"/>
  <c r="N136" i="4"/>
  <c r="O134" i="4"/>
  <c r="O133" i="4" s="1"/>
  <c r="O132" i="4" s="1"/>
  <c r="N133" i="4"/>
  <c r="N132" i="4" s="1"/>
  <c r="O127" i="4"/>
  <c r="N127" i="4"/>
  <c r="O125" i="4"/>
  <c r="N125" i="4"/>
  <c r="O124" i="4"/>
  <c r="N124" i="4"/>
  <c r="O123" i="4"/>
  <c r="N123" i="4"/>
  <c r="O122" i="4"/>
  <c r="N122" i="4"/>
  <c r="O121" i="4"/>
  <c r="N121" i="4"/>
  <c r="O119" i="4"/>
  <c r="N119" i="4"/>
  <c r="O118" i="4"/>
  <c r="O117" i="4" s="1"/>
  <c r="N118" i="4"/>
  <c r="N117" i="4" s="1"/>
  <c r="N114" i="4"/>
  <c r="O110" i="4"/>
  <c r="O109" i="4" s="1"/>
  <c r="O108" i="4" s="1"/>
  <c r="N110" i="4"/>
  <c r="N106" i="4"/>
  <c r="N105" i="4" s="1"/>
  <c r="O103" i="4"/>
  <c r="N103" i="4"/>
  <c r="N102" i="4" s="1"/>
  <c r="O102" i="4"/>
  <c r="O99" i="4"/>
  <c r="N99" i="4"/>
  <c r="O97" i="4"/>
  <c r="N97" i="4"/>
  <c r="O96" i="4"/>
  <c r="N96" i="4"/>
  <c r="N94" i="4"/>
  <c r="N93" i="4" s="1"/>
  <c r="O90" i="4"/>
  <c r="N90" i="4"/>
  <c r="O89" i="4"/>
  <c r="O88" i="4" s="1"/>
  <c r="W9" i="4" s="1"/>
  <c r="N89" i="4"/>
  <c r="N88" i="4" s="1"/>
  <c r="O86" i="4"/>
  <c r="N86" i="4"/>
  <c r="O85" i="4"/>
  <c r="N85" i="4"/>
  <c r="O84" i="4"/>
  <c r="N84" i="4"/>
  <c r="O82" i="4"/>
  <c r="O81" i="4" s="1"/>
  <c r="O80" i="4" s="1"/>
  <c r="N82" i="4"/>
  <c r="N81" i="4"/>
  <c r="N80" i="4" s="1"/>
  <c r="O78" i="4"/>
  <c r="O77" i="4" s="1"/>
  <c r="N78" i="4"/>
  <c r="N77" i="4" s="1"/>
  <c r="N75" i="4"/>
  <c r="N71" i="4" s="1"/>
  <c r="Q73" i="4"/>
  <c r="N72" i="4"/>
  <c r="N67" i="4"/>
  <c r="O62" i="4"/>
  <c r="O61" i="4" s="1"/>
  <c r="N62" i="4"/>
  <c r="N61" i="4" s="1"/>
  <c r="O59" i="4"/>
  <c r="O58" i="4" s="1"/>
  <c r="N59" i="4"/>
  <c r="N58" i="4" s="1"/>
  <c r="O54" i="4"/>
  <c r="O53" i="4" s="1"/>
  <c r="N54" i="4"/>
  <c r="N53" i="4" s="1"/>
  <c r="O49" i="4"/>
  <c r="O48" i="4" s="1"/>
  <c r="N49" i="4"/>
  <c r="N48" i="4" s="1"/>
  <c r="O46" i="4"/>
  <c r="N46" i="4"/>
  <c r="N44" i="4"/>
  <c r="O42" i="4"/>
  <c r="N42" i="4"/>
  <c r="O37" i="4"/>
  <c r="O36" i="4" s="1"/>
  <c r="N37" i="4"/>
  <c r="N36" i="4" s="1"/>
  <c r="O34" i="4"/>
  <c r="N34" i="4"/>
  <c r="N32" i="4"/>
  <c r="O31" i="4"/>
  <c r="N30" i="4"/>
  <c r="O25" i="4"/>
  <c r="O24" i="4" s="1"/>
  <c r="N25" i="4"/>
  <c r="N24" i="4" s="1"/>
  <c r="N22" i="4"/>
  <c r="N21" i="4" s="1"/>
  <c r="O19" i="4"/>
  <c r="N19" i="4"/>
  <c r="N17" i="4"/>
  <c r="O15" i="4"/>
  <c r="N15" i="4"/>
  <c r="O30" i="4" l="1"/>
  <c r="Q31" i="4"/>
  <c r="Q30" i="4" s="1"/>
  <c r="O378" i="4"/>
  <c r="O377" i="4" s="1"/>
  <c r="Q378" i="4"/>
  <c r="Q377" i="4" s="1"/>
  <c r="O193" i="4"/>
  <c r="O192" i="4" s="1"/>
  <c r="Q194" i="4"/>
  <c r="Q193" i="4" s="1"/>
  <c r="Q192" i="4" s="1"/>
  <c r="O310" i="4"/>
  <c r="O309" i="4" s="1"/>
  <c r="Q311" i="4"/>
  <c r="Q310" i="4" s="1"/>
  <c r="Q309" i="4" s="1"/>
  <c r="Q308" i="4" s="1"/>
  <c r="AE308" i="4" s="1"/>
  <c r="O365" i="4"/>
  <c r="Q366" i="4"/>
  <c r="O202" i="4"/>
  <c r="Q203" i="4"/>
  <c r="Q202" i="4" s="1"/>
  <c r="Q199" i="4" s="1"/>
  <c r="Q198" i="4" s="1"/>
  <c r="X198" i="4" s="1"/>
  <c r="O372" i="4"/>
  <c r="Q373" i="4"/>
  <c r="Q372" i="4" s="1"/>
  <c r="O225" i="4"/>
  <c r="Q226" i="4"/>
  <c r="Q225" i="4" s="1"/>
  <c r="N223" i="4"/>
  <c r="N346" i="4"/>
  <c r="N409" i="4"/>
  <c r="N109" i="4"/>
  <c r="N108" i="4" s="1"/>
  <c r="O426" i="4"/>
  <c r="O425" i="4" s="1"/>
  <c r="O424" i="4" s="1"/>
  <c r="O52" i="4"/>
  <c r="O319" i="4"/>
  <c r="N92" i="4"/>
  <c r="N165" i="4"/>
  <c r="O383" i="4"/>
  <c r="AH9" i="4" s="1"/>
  <c r="N237" i="4"/>
  <c r="N29" i="4"/>
  <c r="N28" i="4" s="1"/>
  <c r="N27" i="4" s="1"/>
  <c r="N188" i="4"/>
  <c r="N183" i="4" s="1"/>
  <c r="N152" i="4"/>
  <c r="N101" i="4"/>
  <c r="O145" i="4"/>
  <c r="N295" i="4"/>
  <c r="N294" i="4" s="1"/>
  <c r="O308" i="4"/>
  <c r="N369" i="4"/>
  <c r="N368" i="4" s="1"/>
  <c r="N362" i="4" s="1"/>
  <c r="N361" i="4" s="1"/>
  <c r="N327" i="4"/>
  <c r="N213" i="4"/>
  <c r="O51" i="4"/>
  <c r="R51" i="4" s="1"/>
  <c r="N52" i="4"/>
  <c r="N51" i="4" s="1"/>
  <c r="N66" i="4"/>
  <c r="N65" i="4" s="1"/>
  <c r="N64" i="4" s="1"/>
  <c r="N262" i="4"/>
  <c r="N419" i="4"/>
  <c r="N282" i="4"/>
  <c r="N273" i="4" s="1"/>
  <c r="N247" i="4"/>
  <c r="N246" i="4" s="1"/>
  <c r="N70" i="4"/>
  <c r="N41" i="4"/>
  <c r="N40" i="4" s="1"/>
  <c r="N39" i="4" s="1"/>
  <c r="N14" i="4"/>
  <c r="N13" i="4" s="1"/>
  <c r="N12" i="4" s="1"/>
  <c r="N131" i="4"/>
  <c r="N130" i="4" s="1"/>
  <c r="N129" i="4" s="1"/>
  <c r="O364" i="4"/>
  <c r="O363" i="4" s="1"/>
  <c r="Q365" i="4" l="1"/>
  <c r="Q364" i="4"/>
  <c r="Q363" i="4" s="1"/>
  <c r="Y363" i="4" s="1"/>
  <c r="O199" i="4"/>
  <c r="N69" i="4"/>
  <c r="N11" i="4" s="1"/>
  <c r="N207" i="4"/>
  <c r="AJ9" i="4"/>
  <c r="N258" i="4"/>
  <c r="AE9" i="4"/>
  <c r="O198" i="4" l="1"/>
  <c r="N182" i="4"/>
  <c r="L45" i="4"/>
  <c r="O45" i="4" s="1"/>
  <c r="O44" i="4" l="1"/>
  <c r="O41" i="4" s="1"/>
  <c r="O40" i="4" s="1"/>
  <c r="O39" i="4" s="1"/>
  <c r="Q45" i="4"/>
  <c r="Q44" i="4" s="1"/>
  <c r="Q41" i="4" s="1"/>
  <c r="Q40" i="4" s="1"/>
  <c r="Q39" i="4" s="1"/>
  <c r="K216" i="4"/>
  <c r="BK439" i="4" l="1"/>
  <c r="BJ439" i="4"/>
  <c r="K240" i="4"/>
  <c r="K265" i="4"/>
  <c r="L249" i="4" l="1"/>
  <c r="O249" i="4" s="1"/>
  <c r="Q249" i="4" s="1"/>
  <c r="Q248" i="4" s="1"/>
  <c r="K248" i="4"/>
  <c r="L226" i="4"/>
  <c r="K227" i="4"/>
  <c r="L228" i="4"/>
  <c r="O228" i="4" s="1"/>
  <c r="K251" i="4"/>
  <c r="L252" i="4"/>
  <c r="K245" i="4"/>
  <c r="L245" i="4" s="1"/>
  <c r="O245" i="4" s="1"/>
  <c r="L242" i="4"/>
  <c r="L173" i="4"/>
  <c r="O173" i="4" s="1"/>
  <c r="L421" i="4"/>
  <c r="O421" i="4" s="1"/>
  <c r="Q421" i="4" s="1"/>
  <c r="L281" i="4"/>
  <c r="O281" i="4" s="1"/>
  <c r="L276" i="4"/>
  <c r="O276" i="4" s="1"/>
  <c r="L265" i="4"/>
  <c r="O265" i="4" s="1"/>
  <c r="L240" i="4"/>
  <c r="O240" i="4" s="1"/>
  <c r="L216" i="4"/>
  <c r="O216" i="4" s="1"/>
  <c r="Q216" i="4" s="1"/>
  <c r="Q215" i="4" s="1"/>
  <c r="Q214" i="4" s="1"/>
  <c r="L203" i="4"/>
  <c r="L155" i="4"/>
  <c r="O155" i="4" s="1"/>
  <c r="L95" i="4"/>
  <c r="O95" i="4" s="1"/>
  <c r="L19" i="4"/>
  <c r="L15" i="4"/>
  <c r="K15" i="4"/>
  <c r="O154" i="4" l="1"/>
  <c r="O153" i="4" s="1"/>
  <c r="O152" i="4" s="1"/>
  <c r="Q155" i="4"/>
  <c r="Q154" i="4" s="1"/>
  <c r="Q153" i="4" s="1"/>
  <c r="Q152" i="4" s="1"/>
  <c r="Q144" i="4" s="1"/>
  <c r="O172" i="4"/>
  <c r="O171" i="4" s="1"/>
  <c r="Q173" i="4"/>
  <c r="Q172" i="4" s="1"/>
  <c r="Q171" i="4" s="1"/>
  <c r="Q170" i="4" s="1"/>
  <c r="X170" i="4" s="1"/>
  <c r="O420" i="4"/>
  <c r="Q420" i="4"/>
  <c r="O264" i="4"/>
  <c r="O263" i="4" s="1"/>
  <c r="O262" i="4" s="1"/>
  <c r="Q265" i="4"/>
  <c r="Q264" i="4" s="1"/>
  <c r="Q263" i="4" s="1"/>
  <c r="Q262" i="4" s="1"/>
  <c r="Z262" i="4" s="1"/>
  <c r="O280" i="4"/>
  <c r="O277" i="4" s="1"/>
  <c r="Q281" i="4"/>
  <c r="Q280" i="4" s="1"/>
  <c r="Q277" i="4" s="1"/>
  <c r="O244" i="4"/>
  <c r="O243" i="4" s="1"/>
  <c r="Q245" i="4"/>
  <c r="Q244" i="4" s="1"/>
  <c r="Q243" i="4" s="1"/>
  <c r="O94" i="4"/>
  <c r="O93" i="4" s="1"/>
  <c r="O92" i="4" s="1"/>
  <c r="Q95" i="4"/>
  <c r="Q94" i="4" s="1"/>
  <c r="Q93" i="4" s="1"/>
  <c r="Q92" i="4" s="1"/>
  <c r="X92" i="4" s="1"/>
  <c r="O239" i="4"/>
  <c r="Q240" i="4"/>
  <c r="Q239" i="4" s="1"/>
  <c r="O275" i="4"/>
  <c r="O274" i="4" s="1"/>
  <c r="Q276" i="4"/>
  <c r="Q275" i="4" s="1"/>
  <c r="Q274" i="4" s="1"/>
  <c r="O224" i="4"/>
  <c r="Q228" i="4"/>
  <c r="O170" i="4"/>
  <c r="O215" i="4"/>
  <c r="O214" i="4" s="1"/>
  <c r="O242" i="4"/>
  <c r="L251" i="4"/>
  <c r="L250" i="4" s="1"/>
  <c r="O252" i="4"/>
  <c r="O227" i="4"/>
  <c r="L227" i="4"/>
  <c r="L248" i="4"/>
  <c r="L247" i="4" s="1"/>
  <c r="L246" i="4" s="1"/>
  <c r="O248" i="4"/>
  <c r="K250" i="4"/>
  <c r="K247" i="4"/>
  <c r="K246" i="4" s="1"/>
  <c r="K72" i="4"/>
  <c r="L74" i="4"/>
  <c r="O74" i="4" s="1"/>
  <c r="K68" i="4"/>
  <c r="L393" i="4"/>
  <c r="O393" i="4" s="1"/>
  <c r="AA152" i="4" l="1"/>
  <c r="O392" i="4"/>
  <c r="O391" i="4" s="1"/>
  <c r="O390" i="4" s="1"/>
  <c r="Q393" i="4"/>
  <c r="Q392" i="4" s="1"/>
  <c r="Q391" i="4" s="1"/>
  <c r="Q390" i="4" s="1"/>
  <c r="O72" i="4"/>
  <c r="Q74" i="4"/>
  <c r="Q72" i="4" s="1"/>
  <c r="O251" i="4"/>
  <c r="O250" i="4" s="1"/>
  <c r="Q252" i="4"/>
  <c r="Q251" i="4" s="1"/>
  <c r="O241" i="4"/>
  <c r="Q242" i="4"/>
  <c r="Q241" i="4" s="1"/>
  <c r="Q227" i="4"/>
  <c r="Q224" i="4"/>
  <c r="O247" i="4"/>
  <c r="O246" i="4" s="1"/>
  <c r="K298" i="4"/>
  <c r="K297" i="4" s="1"/>
  <c r="L299" i="4"/>
  <c r="O299" i="4" s="1"/>
  <c r="K292" i="4"/>
  <c r="K291" i="4" s="1"/>
  <c r="L286" i="4"/>
  <c r="O286" i="4" s="1"/>
  <c r="L284" i="4"/>
  <c r="O284" i="4" s="1"/>
  <c r="Q250" i="4" l="1"/>
  <c r="Q247" i="4"/>
  <c r="Q246" i="4" s="1"/>
  <c r="AK246" i="4" s="1"/>
  <c r="AK9" i="4" s="1"/>
  <c r="O285" i="4"/>
  <c r="Q285" i="4" s="1"/>
  <c r="Q286" i="4"/>
  <c r="O298" i="4"/>
  <c r="O297" i="4" s="1"/>
  <c r="O296" i="4" s="1"/>
  <c r="Q299" i="4"/>
  <c r="Q298" i="4" s="1"/>
  <c r="Q297" i="4" s="1"/>
  <c r="Q296" i="4" s="1"/>
  <c r="T296" i="4" s="1"/>
  <c r="O283" i="4"/>
  <c r="Q284" i="4"/>
  <c r="Q283" i="4" s="1"/>
  <c r="O282" i="4"/>
  <c r="O273" i="4" s="1"/>
  <c r="K133" i="4"/>
  <c r="L135" i="4"/>
  <c r="O135" i="4" s="1"/>
  <c r="Q135" i="4" s="1"/>
  <c r="Q134" i="4" s="1"/>
  <c r="Q133" i="4" s="1"/>
  <c r="Q132" i="4" s="1"/>
  <c r="K209" i="4"/>
  <c r="K208" i="4" s="1"/>
  <c r="J209" i="4"/>
  <c r="J208" i="4" s="1"/>
  <c r="L210" i="4"/>
  <c r="K374" i="4"/>
  <c r="K392" i="4"/>
  <c r="K391" i="4" s="1"/>
  <c r="K390" i="4" s="1"/>
  <c r="K355" i="4"/>
  <c r="K354" i="4" s="1"/>
  <c r="K353" i="4" s="1"/>
  <c r="K235" i="4"/>
  <c r="K234" i="4" s="1"/>
  <c r="K205" i="4"/>
  <c r="K204" i="4" s="1"/>
  <c r="K200" i="4"/>
  <c r="K186" i="4"/>
  <c r="K185" i="4" s="1"/>
  <c r="K184" i="4" s="1"/>
  <c r="K157" i="4"/>
  <c r="K156" i="4" s="1"/>
  <c r="K119" i="4"/>
  <c r="K118" i="4" s="1"/>
  <c r="L437" i="4"/>
  <c r="L436" i="4" s="1"/>
  <c r="L434" i="4" s="1"/>
  <c r="K437" i="4"/>
  <c r="K436" i="4" s="1"/>
  <c r="K434" i="4" s="1"/>
  <c r="K432" i="4"/>
  <c r="N432" i="4" s="1"/>
  <c r="N431" i="4" s="1"/>
  <c r="N430" i="4" s="1"/>
  <c r="N426" i="4" s="1"/>
  <c r="N425" i="4" s="1"/>
  <c r="N424" i="4" s="1"/>
  <c r="L431" i="4"/>
  <c r="K431" i="4"/>
  <c r="L430" i="4"/>
  <c r="K430" i="4"/>
  <c r="L428" i="4"/>
  <c r="K428" i="4"/>
  <c r="L427" i="4"/>
  <c r="K427" i="4"/>
  <c r="L426" i="4"/>
  <c r="K426" i="4"/>
  <c r="L425" i="4"/>
  <c r="K425" i="4"/>
  <c r="L424" i="4"/>
  <c r="K424" i="4"/>
  <c r="K422" i="4"/>
  <c r="L420" i="4"/>
  <c r="K420" i="4"/>
  <c r="K419" i="4" s="1"/>
  <c r="K418" i="4"/>
  <c r="N418" i="4" s="1"/>
  <c r="N417" i="4" s="1"/>
  <c r="N414" i="4" s="1"/>
  <c r="L417" i="4"/>
  <c r="K417" i="4"/>
  <c r="L416" i="4"/>
  <c r="K415" i="4"/>
  <c r="K414" i="4" s="1"/>
  <c r="L412" i="4"/>
  <c r="L409" i="4" s="1"/>
  <c r="K412" i="4"/>
  <c r="L410" i="4"/>
  <c r="K410" i="4"/>
  <c r="K409" i="4" s="1"/>
  <c r="L407" i="4"/>
  <c r="K407" i="4"/>
  <c r="L405" i="4"/>
  <c r="K405" i="4"/>
  <c r="L403" i="4"/>
  <c r="K403" i="4"/>
  <c r="K402" i="4" s="1"/>
  <c r="L392" i="4"/>
  <c r="L391" i="4" s="1"/>
  <c r="L390" i="4" s="1"/>
  <c r="K389" i="4"/>
  <c r="N389" i="4" s="1"/>
  <c r="N388" i="4" s="1"/>
  <c r="N387" i="4" s="1"/>
  <c r="L388" i="4"/>
  <c r="K388" i="4"/>
  <c r="K387" i="4" s="1"/>
  <c r="L387" i="4"/>
  <c r="L385" i="4"/>
  <c r="K385" i="4"/>
  <c r="L384" i="4"/>
  <c r="K384" i="4"/>
  <c r="K383" i="4" s="1"/>
  <c r="L379" i="4"/>
  <c r="L378" i="4" s="1"/>
  <c r="L377" i="4" s="1"/>
  <c r="K378" i="4"/>
  <c r="K377" i="4" s="1"/>
  <c r="L375" i="4"/>
  <c r="L374" i="4"/>
  <c r="K372" i="4" s="1"/>
  <c r="K370" i="4"/>
  <c r="L366" i="4"/>
  <c r="L365" i="4" s="1"/>
  <c r="K365" i="4"/>
  <c r="K364" i="4" s="1"/>
  <c r="K363" i="4" s="1"/>
  <c r="L355" i="4"/>
  <c r="L354" i="4" s="1"/>
  <c r="L353" i="4" s="1"/>
  <c r="L351" i="4"/>
  <c r="K351" i="4"/>
  <c r="L350" i="4"/>
  <c r="K349" i="4"/>
  <c r="L347" i="4"/>
  <c r="K347" i="4"/>
  <c r="L343" i="4"/>
  <c r="L339" i="4"/>
  <c r="K339" i="4"/>
  <c r="L338" i="4"/>
  <c r="K338" i="4"/>
  <c r="K337" i="4"/>
  <c r="L336" i="4"/>
  <c r="K336" i="4"/>
  <c r="L334" i="4"/>
  <c r="K334" i="4"/>
  <c r="L332" i="4"/>
  <c r="K332" i="4"/>
  <c r="K331" i="4" s="1"/>
  <c r="L325" i="4"/>
  <c r="K325" i="4"/>
  <c r="L324" i="4"/>
  <c r="K324" i="4"/>
  <c r="K323" i="4"/>
  <c r="N323" i="4" s="1"/>
  <c r="N322" i="4" s="1"/>
  <c r="N319" i="4" s="1"/>
  <c r="N308" i="4" s="1"/>
  <c r="L322" i="4"/>
  <c r="K322" i="4"/>
  <c r="L320" i="4"/>
  <c r="K320" i="4"/>
  <c r="L319" i="4"/>
  <c r="L317" i="4"/>
  <c r="K317" i="4"/>
  <c r="L316" i="4"/>
  <c r="K316" i="4"/>
  <c r="K315" i="4"/>
  <c r="L314" i="4"/>
  <c r="K314" i="4"/>
  <c r="L312" i="4"/>
  <c r="K312" i="4"/>
  <c r="L311" i="4"/>
  <c r="L310" i="4" s="1"/>
  <c r="K310" i="4"/>
  <c r="L303" i="4"/>
  <c r="K302" i="4"/>
  <c r="K301" i="4" s="1"/>
  <c r="K300" i="4" s="1"/>
  <c r="L298" i="4"/>
  <c r="L289" i="4"/>
  <c r="K289" i="4"/>
  <c r="L288" i="4"/>
  <c r="K288" i="4"/>
  <c r="L287" i="4"/>
  <c r="K287" i="4"/>
  <c r="L285" i="4"/>
  <c r="K285" i="4"/>
  <c r="L283" i="4"/>
  <c r="K283" i="4"/>
  <c r="L280" i="4"/>
  <c r="K280" i="4"/>
  <c r="L278" i="4"/>
  <c r="K278" i="4"/>
  <c r="L277" i="4"/>
  <c r="L275" i="4"/>
  <c r="L274" i="4" s="1"/>
  <c r="K275" i="4"/>
  <c r="K274" i="4" s="1"/>
  <c r="L271" i="4"/>
  <c r="K271" i="4"/>
  <c r="L270" i="4"/>
  <c r="K270" i="4"/>
  <c r="L269" i="4"/>
  <c r="K269" i="4"/>
  <c r="L267" i="4"/>
  <c r="K267" i="4"/>
  <c r="L266" i="4"/>
  <c r="K266" i="4"/>
  <c r="L264" i="4"/>
  <c r="L263" i="4" s="1"/>
  <c r="L262" i="4" s="1"/>
  <c r="K264" i="4"/>
  <c r="K263" i="4" s="1"/>
  <c r="L244" i="4"/>
  <c r="L243" i="4" s="1"/>
  <c r="K244" i="4"/>
  <c r="K243" i="4" s="1"/>
  <c r="L241" i="4"/>
  <c r="K241" i="4"/>
  <c r="L239" i="4"/>
  <c r="L238" i="4" s="1"/>
  <c r="K239" i="4"/>
  <c r="L235" i="4"/>
  <c r="L234" i="4" s="1"/>
  <c r="L231" i="4"/>
  <c r="O231" i="4" s="1"/>
  <c r="K230" i="4"/>
  <c r="L225" i="4"/>
  <c r="L224" i="4" s="1"/>
  <c r="K225" i="4"/>
  <c r="K224" i="4" s="1"/>
  <c r="K221" i="4"/>
  <c r="K220" i="4" s="1"/>
  <c r="K218" i="4"/>
  <c r="K217" i="4" s="1"/>
  <c r="L215" i="4"/>
  <c r="L214" i="4" s="1"/>
  <c r="K215" i="4"/>
  <c r="K214" i="4" s="1"/>
  <c r="L205" i="4"/>
  <c r="L204" i="4"/>
  <c r="L202" i="4"/>
  <c r="L199" i="4" s="1"/>
  <c r="L198" i="4" s="1"/>
  <c r="K202" i="4"/>
  <c r="L200" i="4"/>
  <c r="K199" i="4"/>
  <c r="L196" i="4"/>
  <c r="L195" i="4" s="1"/>
  <c r="K196" i="4"/>
  <c r="K195" i="4" s="1"/>
  <c r="L194" i="4"/>
  <c r="K193" i="4" s="1"/>
  <c r="K192" i="4" s="1"/>
  <c r="L191" i="4"/>
  <c r="L186" i="4"/>
  <c r="L185" i="4" s="1"/>
  <c r="L184" i="4" s="1"/>
  <c r="L172" i="4"/>
  <c r="L171" i="4" s="1"/>
  <c r="L170" i="4" s="1"/>
  <c r="K172" i="4"/>
  <c r="K171" i="4" s="1"/>
  <c r="K170" i="4" s="1"/>
  <c r="K168" i="4"/>
  <c r="K167" i="4" s="1"/>
  <c r="K166" i="4" s="1"/>
  <c r="L157" i="4"/>
  <c r="L156" i="4" s="1"/>
  <c r="L154" i="4"/>
  <c r="L153" i="4" s="1"/>
  <c r="K154" i="4"/>
  <c r="K153" i="4" s="1"/>
  <c r="L150" i="4"/>
  <c r="L149" i="4" s="1"/>
  <c r="K150" i="4"/>
  <c r="K149" i="4" s="1"/>
  <c r="K148" i="4"/>
  <c r="N148" i="4" s="1"/>
  <c r="N147" i="4" s="1"/>
  <c r="N146" i="4" s="1"/>
  <c r="N145" i="4" s="1"/>
  <c r="N144" i="4" s="1"/>
  <c r="N143" i="4" s="1"/>
  <c r="L147" i="4"/>
  <c r="L146" i="4" s="1"/>
  <c r="K147" i="4"/>
  <c r="K146" i="4" s="1"/>
  <c r="L140" i="4"/>
  <c r="K139" i="4"/>
  <c r="K138" i="4" s="1"/>
  <c r="L136" i="4"/>
  <c r="K136" i="4"/>
  <c r="L134" i="4"/>
  <c r="L133" i="4" s="1"/>
  <c r="L132" i="4" s="1"/>
  <c r="L127" i="4"/>
  <c r="K127" i="4"/>
  <c r="L125" i="4"/>
  <c r="K125" i="4"/>
  <c r="K124" i="4" s="1"/>
  <c r="K123" i="4" s="1"/>
  <c r="L119" i="4"/>
  <c r="K114" i="4"/>
  <c r="L114" i="4"/>
  <c r="L110" i="4"/>
  <c r="K110" i="4"/>
  <c r="K106" i="4"/>
  <c r="K105" i="4" s="1"/>
  <c r="L103" i="4"/>
  <c r="L102" i="4" s="1"/>
  <c r="K103" i="4"/>
  <c r="K102" i="4" s="1"/>
  <c r="L99" i="4"/>
  <c r="K99" i="4"/>
  <c r="L97" i="4"/>
  <c r="K97" i="4"/>
  <c r="L94" i="4"/>
  <c r="L93" i="4" s="1"/>
  <c r="K94" i="4"/>
  <c r="K93" i="4" s="1"/>
  <c r="L90" i="4"/>
  <c r="L89" i="4" s="1"/>
  <c r="L88" i="4" s="1"/>
  <c r="K90" i="4"/>
  <c r="K89" i="4" s="1"/>
  <c r="K88" i="4" s="1"/>
  <c r="L86" i="4"/>
  <c r="L85" i="4" s="1"/>
  <c r="L84" i="4" s="1"/>
  <c r="K86" i="4"/>
  <c r="K85" i="4" s="1"/>
  <c r="K84" i="4" s="1"/>
  <c r="L82" i="4"/>
  <c r="L81" i="4" s="1"/>
  <c r="L80" i="4" s="1"/>
  <c r="K82" i="4"/>
  <c r="K81" i="4" s="1"/>
  <c r="K80" i="4" s="1"/>
  <c r="L78" i="4"/>
  <c r="L77" i="4" s="1"/>
  <c r="K78" i="4"/>
  <c r="K77" i="4" s="1"/>
  <c r="K75" i="4"/>
  <c r="K71" i="4" s="1"/>
  <c r="K67" i="4"/>
  <c r="L62" i="4"/>
  <c r="L61" i="4" s="1"/>
  <c r="K62" i="4"/>
  <c r="K61" i="4" s="1"/>
  <c r="K60" i="4"/>
  <c r="K59" i="4" s="1"/>
  <c r="K58" i="4" s="1"/>
  <c r="L59" i="4"/>
  <c r="L58" i="4" s="1"/>
  <c r="L54" i="4"/>
  <c r="L53" i="4" s="1"/>
  <c r="K54" i="4"/>
  <c r="K53" i="4" s="1"/>
  <c r="L49" i="4"/>
  <c r="L48" i="4" s="1"/>
  <c r="K49" i="4"/>
  <c r="K48" i="4" s="1"/>
  <c r="K47" i="4"/>
  <c r="K46" i="4" s="1"/>
  <c r="L46" i="4"/>
  <c r="L44" i="4"/>
  <c r="K44" i="4"/>
  <c r="L42" i="4"/>
  <c r="K42" i="4"/>
  <c r="L37" i="4"/>
  <c r="L36" i="4" s="1"/>
  <c r="K37" i="4"/>
  <c r="K36" i="4" s="1"/>
  <c r="K35" i="4"/>
  <c r="K34" i="4" s="1"/>
  <c r="L34" i="4"/>
  <c r="K32" i="4"/>
  <c r="L31" i="4"/>
  <c r="K30" i="4" s="1"/>
  <c r="L25" i="4"/>
  <c r="L24" i="4" s="1"/>
  <c r="K25" i="4"/>
  <c r="K24" i="4" s="1"/>
  <c r="K22" i="4"/>
  <c r="K21" i="4" s="1"/>
  <c r="K20" i="4"/>
  <c r="K19" i="4" s="1"/>
  <c r="K17" i="4"/>
  <c r="Q282" i="4" l="1"/>
  <c r="Q273" i="4" s="1"/>
  <c r="AA273" i="4" s="1"/>
  <c r="AA9" i="4" s="1"/>
  <c r="O230" i="4"/>
  <c r="O229" i="4" s="1"/>
  <c r="O223" i="4" s="1"/>
  <c r="Q231" i="4"/>
  <c r="Q230" i="4" s="1"/>
  <c r="Q229" i="4" s="1"/>
  <c r="Q223" i="4" s="1"/>
  <c r="AC223" i="4" s="1"/>
  <c r="AC9" i="4" s="1"/>
  <c r="L230" i="4"/>
  <c r="L229" i="4" s="1"/>
  <c r="K342" i="4"/>
  <c r="K341" i="4" s="1"/>
  <c r="O343" i="4"/>
  <c r="L349" i="4"/>
  <c r="L346" i="4" s="1"/>
  <c r="O350" i="4"/>
  <c r="Q350" i="4" s="1"/>
  <c r="N401" i="4"/>
  <c r="N394" i="4" s="1"/>
  <c r="L415" i="4"/>
  <c r="L414" i="4" s="1"/>
  <c r="O416" i="4"/>
  <c r="N307" i="4"/>
  <c r="N306" i="4" s="1"/>
  <c r="L302" i="4"/>
  <c r="L301" i="4" s="1"/>
  <c r="L300" i="4" s="1"/>
  <c r="O303" i="4"/>
  <c r="K41" i="4"/>
  <c r="L139" i="4"/>
  <c r="L138" i="4" s="1"/>
  <c r="L131" i="4" s="1"/>
  <c r="L130" i="4" s="1"/>
  <c r="L129" i="4" s="1"/>
  <c r="O140" i="4"/>
  <c r="K190" i="4"/>
  <c r="K189" i="4" s="1"/>
  <c r="O191" i="4"/>
  <c r="L237" i="4"/>
  <c r="O238" i="4"/>
  <c r="L383" i="4"/>
  <c r="L209" i="4"/>
  <c r="L208" i="4" s="1"/>
  <c r="O210" i="4"/>
  <c r="K213" i="4"/>
  <c r="K198" i="4"/>
  <c r="K14" i="4"/>
  <c r="K13" i="4" s="1"/>
  <c r="K12" i="4" s="1"/>
  <c r="K165" i="4"/>
  <c r="K369" i="4"/>
  <c r="K368" i="4" s="1"/>
  <c r="K362" i="4" s="1"/>
  <c r="K361" i="4" s="1"/>
  <c r="L282" i="4"/>
  <c r="K435" i="4"/>
  <c r="K433" i="4"/>
  <c r="L109" i="4"/>
  <c r="L108" i="4" s="1"/>
  <c r="K238" i="4"/>
  <c r="K237" i="4" s="1"/>
  <c r="L435" i="4"/>
  <c r="L433" i="4"/>
  <c r="L30" i="4"/>
  <c r="L41" i="4"/>
  <c r="L40" i="4" s="1"/>
  <c r="L39" i="4" s="1"/>
  <c r="K96" i="4"/>
  <c r="K92" i="4" s="1"/>
  <c r="K109" i="4"/>
  <c r="K108" i="4" s="1"/>
  <c r="K122" i="4"/>
  <c r="K121" i="4" s="1"/>
  <c r="K145" i="4"/>
  <c r="L190" i="4"/>
  <c r="L189" i="4" s="1"/>
  <c r="L193" i="4"/>
  <c r="L192" i="4" s="1"/>
  <c r="L273" i="4"/>
  <c r="K309" i="4"/>
  <c r="L309" i="4"/>
  <c r="L308" i="4" s="1"/>
  <c r="L342" i="4"/>
  <c r="L341" i="4" s="1"/>
  <c r="L364" i="4"/>
  <c r="L363" i="4" s="1"/>
  <c r="L402" i="4"/>
  <c r="L96" i="4"/>
  <c r="L92" i="4" s="1"/>
  <c r="L124" i="4"/>
  <c r="L123" i="4" s="1"/>
  <c r="L223" i="4"/>
  <c r="L331" i="4"/>
  <c r="K101" i="4"/>
  <c r="L52" i="4"/>
  <c r="L51" i="4" s="1"/>
  <c r="L145" i="4"/>
  <c r="K66" i="4"/>
  <c r="K65" i="4" s="1"/>
  <c r="K64" i="4" s="1"/>
  <c r="K401" i="4"/>
  <c r="K395" i="4" s="1"/>
  <c r="K394" i="4" s="1"/>
  <c r="K346" i="4"/>
  <c r="K327" i="4" s="1"/>
  <c r="K319" i="4"/>
  <c r="L297" i="4"/>
  <c r="K282" i="4"/>
  <c r="K277" i="4"/>
  <c r="K262" i="4"/>
  <c r="K223" i="4"/>
  <c r="K152" i="4"/>
  <c r="K70" i="4"/>
  <c r="K52" i="4"/>
  <c r="K51" i="4" s="1"/>
  <c r="K40" i="4"/>
  <c r="K39" i="4" s="1"/>
  <c r="K29" i="4"/>
  <c r="K28" i="4" s="1"/>
  <c r="K27" i="4" s="1"/>
  <c r="L122" i="4"/>
  <c r="L121" i="4" s="1"/>
  <c r="L118" i="4"/>
  <c r="K188" i="4"/>
  <c r="K183" i="4" s="1"/>
  <c r="L152" i="4"/>
  <c r="I286" i="4"/>
  <c r="L327" i="4" l="1"/>
  <c r="O190" i="4"/>
  <c r="O189" i="4" s="1"/>
  <c r="O188" i="4" s="1"/>
  <c r="Q191" i="4"/>
  <c r="Q190" i="4" s="1"/>
  <c r="Q189" i="4" s="1"/>
  <c r="Q188" i="4" s="1"/>
  <c r="O342" i="4"/>
  <c r="O341" i="4" s="1"/>
  <c r="Q343" i="4"/>
  <c r="Q342" i="4" s="1"/>
  <c r="Q341" i="4" s="1"/>
  <c r="L307" i="4"/>
  <c r="O415" i="4"/>
  <c r="O414" i="4" s="1"/>
  <c r="Q416" i="4"/>
  <c r="Q415" i="4" s="1"/>
  <c r="Q414" i="4" s="1"/>
  <c r="O209" i="4"/>
  <c r="O208" i="4" s="1"/>
  <c r="Q210" i="4"/>
  <c r="Q209" i="4" s="1"/>
  <c r="Q208" i="4" s="1"/>
  <c r="T208" i="4" s="1"/>
  <c r="O302" i="4"/>
  <c r="O301" i="4" s="1"/>
  <c r="O300" i="4" s="1"/>
  <c r="Q303" i="4"/>
  <c r="Q302" i="4" s="1"/>
  <c r="Q301" i="4" s="1"/>
  <c r="Q300" i="4" s="1"/>
  <c r="O237" i="4"/>
  <c r="Q238" i="4"/>
  <c r="Q237" i="4" s="1"/>
  <c r="X237" i="4" s="1"/>
  <c r="O139" i="4"/>
  <c r="Q140" i="4"/>
  <c r="Q139" i="4" s="1"/>
  <c r="O349" i="4"/>
  <c r="O346" i="4" s="1"/>
  <c r="Q349" i="4"/>
  <c r="Q346" i="4" s="1"/>
  <c r="N10" i="4"/>
  <c r="O295" i="4"/>
  <c r="O294" i="4" s="1"/>
  <c r="O183" i="4"/>
  <c r="L306" i="4"/>
  <c r="K207" i="4"/>
  <c r="K144" i="4"/>
  <c r="K143" i="4" s="1"/>
  <c r="L188" i="4"/>
  <c r="L183" i="4" s="1"/>
  <c r="K308" i="4"/>
  <c r="K307" i="4" s="1"/>
  <c r="K306" i="4" s="1"/>
  <c r="K296" i="4"/>
  <c r="K295" i="4" s="1"/>
  <c r="K294" i="4" s="1"/>
  <c r="L296" i="4"/>
  <c r="L295" i="4" s="1"/>
  <c r="L294" i="4" s="1"/>
  <c r="K273" i="4"/>
  <c r="K258" i="4" s="1"/>
  <c r="K117" i="4"/>
  <c r="K69" i="4" s="1"/>
  <c r="K11" i="4" s="1"/>
  <c r="L117" i="4"/>
  <c r="Q295" i="4" l="1"/>
  <c r="Q294" i="4" s="1"/>
  <c r="AD300" i="4"/>
  <c r="AD9" i="4" s="1"/>
  <c r="X9" i="4"/>
  <c r="Q183" i="4"/>
  <c r="AB188" i="4"/>
  <c r="AB9" i="4" s="1"/>
  <c r="R183" i="4"/>
  <c r="R294" i="4"/>
  <c r="O327" i="4"/>
  <c r="O307" i="4" s="1"/>
  <c r="O306" i="4" s="1"/>
  <c r="Q327" i="4"/>
  <c r="AF327" i="4" s="1"/>
  <c r="O138" i="4"/>
  <c r="O131" i="4" s="1"/>
  <c r="Q138" i="4"/>
  <c r="Q131" i="4" s="1"/>
  <c r="N9" i="4"/>
  <c r="K182" i="4"/>
  <c r="Q307" i="4" l="1"/>
  <c r="Q306" i="4" s="1"/>
  <c r="Q130" i="4"/>
  <c r="Q129" i="4" s="1"/>
  <c r="T131" i="4"/>
  <c r="AF9" i="4"/>
  <c r="O130" i="4"/>
  <c r="O129" i="4" s="1"/>
  <c r="J68" i="4"/>
  <c r="L68" i="4" s="1"/>
  <c r="J303" i="4"/>
  <c r="J298" i="4"/>
  <c r="J297" i="4" s="1"/>
  <c r="J194" i="4"/>
  <c r="J191" i="4"/>
  <c r="L67" i="4" l="1"/>
  <c r="L66" i="4" s="1"/>
  <c r="L65" i="4" s="1"/>
  <c r="L64" i="4" s="1"/>
  <c r="O68" i="4"/>
  <c r="I298" i="4"/>
  <c r="I297" i="4"/>
  <c r="I296" i="4" s="1"/>
  <c r="J296" i="4"/>
  <c r="O67" i="4" l="1"/>
  <c r="O66" i="4" s="1"/>
  <c r="O65" i="4" s="1"/>
  <c r="O64" i="4" s="1"/>
  <c r="Q68" i="4"/>
  <c r="Q67" i="4" s="1"/>
  <c r="Q66" i="4" s="1"/>
  <c r="Q65" i="4" s="1"/>
  <c r="Q64" i="4" s="1"/>
  <c r="J293" i="4"/>
  <c r="J164" i="4"/>
  <c r="R64" i="4" l="1"/>
  <c r="T64" i="4"/>
  <c r="J162" i="4"/>
  <c r="I162" i="4" s="1"/>
  <c r="J291" i="4"/>
  <c r="I291" i="4" s="1"/>
  <c r="L293" i="4"/>
  <c r="O293" i="4" s="1"/>
  <c r="Q293" i="4" s="1"/>
  <c r="J163" i="4"/>
  <c r="I163" i="4" s="1"/>
  <c r="J292" i="4"/>
  <c r="I292" i="4" s="1"/>
  <c r="I222" i="4"/>
  <c r="Q292" i="4" l="1"/>
  <c r="Q291" i="4"/>
  <c r="Q258" i="4" s="1"/>
  <c r="O292" i="4"/>
  <c r="O291" i="4"/>
  <c r="O258" i="4" s="1"/>
  <c r="L163" i="4"/>
  <c r="L162" i="4"/>
  <c r="L144" i="4" s="1"/>
  <c r="L292" i="4"/>
  <c r="L291" i="4"/>
  <c r="L258" i="4" s="1"/>
  <c r="J437" i="4"/>
  <c r="J436" i="4" s="1"/>
  <c r="J434" i="4" s="1"/>
  <c r="I437" i="4"/>
  <c r="I436" i="4" s="1"/>
  <c r="I434" i="4" s="1"/>
  <c r="H437" i="4"/>
  <c r="H436" i="4" s="1"/>
  <c r="H434" i="4" s="1"/>
  <c r="H433" i="4" s="1"/>
  <c r="G437" i="4"/>
  <c r="G436" i="4" s="1"/>
  <c r="G434" i="4" s="1"/>
  <c r="G433" i="4" s="1"/>
  <c r="F437" i="4"/>
  <c r="F436" i="4" s="1"/>
  <c r="F434" i="4" s="1"/>
  <c r="I432" i="4"/>
  <c r="I431" i="4" s="1"/>
  <c r="I430" i="4" s="1"/>
  <c r="J431" i="4"/>
  <c r="J430" i="4" s="1"/>
  <c r="H431" i="4"/>
  <c r="H430" i="4" s="1"/>
  <c r="G431" i="4"/>
  <c r="G430" i="4" s="1"/>
  <c r="F431" i="4"/>
  <c r="F430" i="4" s="1"/>
  <c r="F429" i="4"/>
  <c r="F428" i="4" s="1"/>
  <c r="F427" i="4" s="1"/>
  <c r="J428" i="4"/>
  <c r="J427" i="4" s="1"/>
  <c r="I428" i="4"/>
  <c r="I427" i="4" s="1"/>
  <c r="H428" i="4"/>
  <c r="H427" i="4" s="1"/>
  <c r="G428" i="4"/>
  <c r="G427" i="4" s="1"/>
  <c r="J423" i="4"/>
  <c r="H422" i="4"/>
  <c r="G422" i="4"/>
  <c r="F422" i="4"/>
  <c r="I421" i="4"/>
  <c r="I420" i="4" s="1"/>
  <c r="H421" i="4"/>
  <c r="J420" i="4"/>
  <c r="H420" i="4"/>
  <c r="H419" i="4" s="1"/>
  <c r="G420" i="4"/>
  <c r="F420" i="4"/>
  <c r="F419" i="4" s="1"/>
  <c r="G419" i="4"/>
  <c r="F418" i="4"/>
  <c r="I418" i="4" s="1"/>
  <c r="I417" i="4" s="1"/>
  <c r="J417" i="4"/>
  <c r="H417" i="4"/>
  <c r="G417" i="4"/>
  <c r="F417" i="4"/>
  <c r="J416" i="4"/>
  <c r="J415" i="4" s="1"/>
  <c r="J414" i="4" s="1"/>
  <c r="H415" i="4"/>
  <c r="H414" i="4" s="1"/>
  <c r="G415" i="4"/>
  <c r="G414" i="4" s="1"/>
  <c r="F415" i="4"/>
  <c r="F414" i="4" s="1"/>
  <c r="F413" i="4"/>
  <c r="I413" i="4" s="1"/>
  <c r="I412" i="4" s="1"/>
  <c r="J412" i="4"/>
  <c r="J409" i="4" s="1"/>
  <c r="H412" i="4"/>
  <c r="H409" i="4" s="1"/>
  <c r="G412" i="4"/>
  <c r="G409" i="4" s="1"/>
  <c r="F412" i="4"/>
  <c r="F409" i="4" s="1"/>
  <c r="I411" i="4"/>
  <c r="H411" i="4"/>
  <c r="G411" i="4"/>
  <c r="J410" i="4"/>
  <c r="I410" i="4"/>
  <c r="H410" i="4"/>
  <c r="G410" i="4"/>
  <c r="F410" i="4"/>
  <c r="J407" i="4"/>
  <c r="I407" i="4"/>
  <c r="H407" i="4"/>
  <c r="G407" i="4"/>
  <c r="F407" i="4"/>
  <c r="H406" i="4"/>
  <c r="G406" i="4"/>
  <c r="G405" i="4" s="1"/>
  <c r="F406" i="4"/>
  <c r="I406" i="4" s="1"/>
  <c r="I405" i="4" s="1"/>
  <c r="J405" i="4"/>
  <c r="H405" i="4"/>
  <c r="H404" i="4"/>
  <c r="H403" i="4" s="1"/>
  <c r="G404" i="4"/>
  <c r="G403" i="4" s="1"/>
  <c r="F404" i="4"/>
  <c r="I404" i="4" s="1"/>
  <c r="I403" i="4" s="1"/>
  <c r="J403" i="4"/>
  <c r="F403" i="4"/>
  <c r="I393" i="4"/>
  <c r="J392" i="4"/>
  <c r="I392" i="4" s="1"/>
  <c r="F389" i="4"/>
  <c r="F388" i="4" s="1"/>
  <c r="F387" i="4" s="1"/>
  <c r="J388" i="4"/>
  <c r="J387" i="4" s="1"/>
  <c r="H388" i="4"/>
  <c r="H387" i="4" s="1"/>
  <c r="G388" i="4"/>
  <c r="G387" i="4" s="1"/>
  <c r="F386" i="4"/>
  <c r="F385" i="4" s="1"/>
  <c r="F384" i="4" s="1"/>
  <c r="J385" i="4"/>
  <c r="J384" i="4" s="1"/>
  <c r="I385" i="4"/>
  <c r="I384" i="4" s="1"/>
  <c r="H385" i="4"/>
  <c r="H384" i="4" s="1"/>
  <c r="G385" i="4"/>
  <c r="G384" i="4" s="1"/>
  <c r="J379" i="4"/>
  <c r="J378" i="4" s="1"/>
  <c r="J377" i="4" s="1"/>
  <c r="H378" i="4"/>
  <c r="H377" i="4" s="1"/>
  <c r="G378" i="4"/>
  <c r="G377" i="4" s="1"/>
  <c r="F378" i="4"/>
  <c r="F377" i="4" s="1"/>
  <c r="I376" i="4"/>
  <c r="J375" i="4"/>
  <c r="I375" i="4" s="1"/>
  <c r="J374" i="4"/>
  <c r="I374" i="4" s="1"/>
  <c r="I373" i="4"/>
  <c r="J373" i="4" s="1"/>
  <c r="L373" i="4" s="1"/>
  <c r="L372" i="4" s="1"/>
  <c r="H372" i="4"/>
  <c r="G372" i="4"/>
  <c r="F372" i="4"/>
  <c r="J371" i="4"/>
  <c r="H370" i="4"/>
  <c r="H369" i="4" s="1"/>
  <c r="G370" i="4"/>
  <c r="G369" i="4" s="1"/>
  <c r="F370" i="4"/>
  <c r="F369" i="4" s="1"/>
  <c r="F367" i="4"/>
  <c r="I367" i="4" s="1"/>
  <c r="J366" i="4"/>
  <c r="J365" i="4" s="1"/>
  <c r="H365" i="4"/>
  <c r="H364" i="4" s="1"/>
  <c r="H363" i="4" s="1"/>
  <c r="G365" i="4"/>
  <c r="G364" i="4" s="1"/>
  <c r="G363" i="4" s="1"/>
  <c r="I356" i="4"/>
  <c r="J355" i="4"/>
  <c r="I355" i="4" s="1"/>
  <c r="H355" i="4"/>
  <c r="H354" i="4" s="1"/>
  <c r="H353" i="4" s="1"/>
  <c r="G355" i="4"/>
  <c r="G354" i="4" s="1"/>
  <c r="G353" i="4" s="1"/>
  <c r="I352" i="4"/>
  <c r="J351" i="4"/>
  <c r="I351" i="4"/>
  <c r="H351" i="4"/>
  <c r="G351" i="4"/>
  <c r="F351" i="4"/>
  <c r="J350" i="4"/>
  <c r="I350" i="4" s="1"/>
  <c r="I349" i="4" s="1"/>
  <c r="H350" i="4"/>
  <c r="H349" i="4" s="1"/>
  <c r="G349" i="4"/>
  <c r="F349" i="4"/>
  <c r="I348" i="4"/>
  <c r="I347" i="4" s="1"/>
  <c r="J347" i="4"/>
  <c r="H347" i="4"/>
  <c r="G347" i="4"/>
  <c r="F347" i="4"/>
  <c r="J343" i="4"/>
  <c r="J342" i="4" s="1"/>
  <c r="J341" i="4" s="1"/>
  <c r="F343" i="4"/>
  <c r="F342" i="4" s="1"/>
  <c r="F341" i="4" s="1"/>
  <c r="H342" i="4"/>
  <c r="H341" i="4" s="1"/>
  <c r="G342" i="4"/>
  <c r="G341" i="4" s="1"/>
  <c r="F340" i="4"/>
  <c r="F339" i="4" s="1"/>
  <c r="F338" i="4" s="1"/>
  <c r="J339" i="4"/>
  <c r="J338" i="4" s="1"/>
  <c r="H339" i="4"/>
  <c r="H338" i="4" s="1"/>
  <c r="G339" i="4"/>
  <c r="G338" i="4" s="1"/>
  <c r="I337" i="4"/>
  <c r="I336" i="4" s="1"/>
  <c r="J336" i="4"/>
  <c r="H336" i="4"/>
  <c r="G336" i="4"/>
  <c r="F336" i="4"/>
  <c r="H335" i="4"/>
  <c r="H334" i="4" s="1"/>
  <c r="G335" i="4"/>
  <c r="G334" i="4" s="1"/>
  <c r="F335" i="4"/>
  <c r="F334" i="4" s="1"/>
  <c r="J334" i="4"/>
  <c r="I334" i="4"/>
  <c r="H333" i="4"/>
  <c r="H332" i="4" s="1"/>
  <c r="G333" i="4"/>
  <c r="G332" i="4" s="1"/>
  <c r="F333" i="4"/>
  <c r="I333" i="4" s="1"/>
  <c r="I332" i="4" s="1"/>
  <c r="J332" i="4"/>
  <c r="I326" i="4"/>
  <c r="J325" i="4"/>
  <c r="J324" i="4" s="1"/>
  <c r="I325" i="4"/>
  <c r="I324" i="4" s="1"/>
  <c r="H325" i="4"/>
  <c r="H324" i="4" s="1"/>
  <c r="G325" i="4"/>
  <c r="G324" i="4" s="1"/>
  <c r="F325" i="4"/>
  <c r="F324" i="4" s="1"/>
  <c r="I323" i="4"/>
  <c r="J322" i="4"/>
  <c r="I322" i="4"/>
  <c r="H322" i="4"/>
  <c r="G322" i="4"/>
  <c r="F322" i="4"/>
  <c r="F321" i="4"/>
  <c r="I321" i="4" s="1"/>
  <c r="I320" i="4" s="1"/>
  <c r="I319" i="4" s="1"/>
  <c r="J320" i="4"/>
  <c r="H320" i="4"/>
  <c r="G320" i="4"/>
  <c r="F320" i="4"/>
  <c r="I318" i="4"/>
  <c r="I317" i="4" s="1"/>
  <c r="I316" i="4" s="1"/>
  <c r="J317" i="4"/>
  <c r="H317" i="4"/>
  <c r="G317" i="4"/>
  <c r="G316" i="4" s="1"/>
  <c r="F317" i="4"/>
  <c r="F316" i="4" s="1"/>
  <c r="J316" i="4"/>
  <c r="H316" i="4"/>
  <c r="I315" i="4"/>
  <c r="I314" i="4" s="1"/>
  <c r="J314" i="4"/>
  <c r="H314" i="4"/>
  <c r="G314" i="4"/>
  <c r="F314" i="4"/>
  <c r="H313" i="4"/>
  <c r="H312" i="4" s="1"/>
  <c r="G313" i="4"/>
  <c r="G312" i="4" s="1"/>
  <c r="F313" i="4"/>
  <c r="J312" i="4"/>
  <c r="J311" i="4"/>
  <c r="H311" i="4"/>
  <c r="H310" i="4" s="1"/>
  <c r="G311" i="4"/>
  <c r="G310" i="4" s="1"/>
  <c r="F311" i="4"/>
  <c r="F310" i="4" s="1"/>
  <c r="J310" i="4"/>
  <c r="F303" i="4"/>
  <c r="F302" i="4" s="1"/>
  <c r="F301" i="4" s="1"/>
  <c r="F300" i="4" s="1"/>
  <c r="F295" i="4" s="1"/>
  <c r="F294" i="4" s="1"/>
  <c r="J302" i="4"/>
  <c r="J301" i="4" s="1"/>
  <c r="J300" i="4" s="1"/>
  <c r="J295" i="4" s="1"/>
  <c r="H302" i="4"/>
  <c r="H301" i="4" s="1"/>
  <c r="H300" i="4" s="1"/>
  <c r="H295" i="4" s="1"/>
  <c r="H294" i="4" s="1"/>
  <c r="G302" i="4"/>
  <c r="G301" i="4" s="1"/>
  <c r="G300" i="4" s="1"/>
  <c r="G295" i="4" s="1"/>
  <c r="G294" i="4" s="1"/>
  <c r="I290" i="4"/>
  <c r="I289" i="4" s="1"/>
  <c r="I288" i="4" s="1"/>
  <c r="I287" i="4" s="1"/>
  <c r="J289" i="4"/>
  <c r="J288" i="4" s="1"/>
  <c r="J287" i="4" s="1"/>
  <c r="H289" i="4"/>
  <c r="H288" i="4" s="1"/>
  <c r="H287" i="4" s="1"/>
  <c r="G289" i="4"/>
  <c r="F289" i="4"/>
  <c r="F288" i="4" s="1"/>
  <c r="F287" i="4" s="1"/>
  <c r="G288" i="4"/>
  <c r="G287" i="4" s="1"/>
  <c r="I285" i="4"/>
  <c r="J285" i="4"/>
  <c r="H285" i="4"/>
  <c r="G285" i="4"/>
  <c r="F285" i="4"/>
  <c r="I284" i="4"/>
  <c r="I283" i="4" s="1"/>
  <c r="G284" i="4"/>
  <c r="G283" i="4" s="1"/>
  <c r="J283" i="4"/>
  <c r="H283" i="4"/>
  <c r="F283" i="4"/>
  <c r="F281" i="4"/>
  <c r="I281" i="4" s="1"/>
  <c r="I280" i="4" s="1"/>
  <c r="J280" i="4"/>
  <c r="H280" i="4"/>
  <c r="G280" i="4"/>
  <c r="F280" i="4"/>
  <c r="I279" i="4"/>
  <c r="I278" i="4" s="1"/>
  <c r="J278" i="4"/>
  <c r="H278" i="4"/>
  <c r="G278" i="4"/>
  <c r="F278" i="4"/>
  <c r="I276" i="4"/>
  <c r="I275" i="4" s="1"/>
  <c r="I274" i="4" s="1"/>
  <c r="J275" i="4"/>
  <c r="J274" i="4" s="1"/>
  <c r="H275" i="4"/>
  <c r="H274" i="4" s="1"/>
  <c r="G275" i="4"/>
  <c r="G274" i="4" s="1"/>
  <c r="F275" i="4"/>
  <c r="F274" i="4" s="1"/>
  <c r="I272" i="4"/>
  <c r="J271" i="4"/>
  <c r="J269" i="4" s="1"/>
  <c r="I271" i="4"/>
  <c r="I270" i="4" s="1"/>
  <c r="H271" i="4"/>
  <c r="H269" i="4" s="1"/>
  <c r="G271" i="4"/>
  <c r="G269" i="4" s="1"/>
  <c r="F271" i="4"/>
  <c r="F270" i="4" s="1"/>
  <c r="F268" i="4"/>
  <c r="F267" i="4" s="1"/>
  <c r="F266" i="4" s="1"/>
  <c r="J267" i="4"/>
  <c r="J266" i="4" s="1"/>
  <c r="H267" i="4"/>
  <c r="H266" i="4" s="1"/>
  <c r="G267" i="4"/>
  <c r="G266" i="4" s="1"/>
  <c r="F265" i="4"/>
  <c r="F264" i="4" s="1"/>
  <c r="F263" i="4" s="1"/>
  <c r="J264" i="4"/>
  <c r="J263" i="4" s="1"/>
  <c r="H264" i="4"/>
  <c r="H263" i="4" s="1"/>
  <c r="G264" i="4"/>
  <c r="G263" i="4" s="1"/>
  <c r="I245" i="4"/>
  <c r="I244" i="4" s="1"/>
  <c r="J244" i="4"/>
  <c r="J243" i="4" s="1"/>
  <c r="F244" i="4"/>
  <c r="H242" i="4"/>
  <c r="H241" i="4" s="1"/>
  <c r="G242" i="4"/>
  <c r="G241" i="4" s="1"/>
  <c r="F242" i="4"/>
  <c r="F241" i="4" s="1"/>
  <c r="J241" i="4"/>
  <c r="J239" i="4"/>
  <c r="I239" i="4"/>
  <c r="H239" i="4"/>
  <c r="G239" i="4"/>
  <c r="F239" i="4"/>
  <c r="I236" i="4"/>
  <c r="J235" i="4"/>
  <c r="I235" i="4" s="1"/>
  <c r="J231" i="4"/>
  <c r="J230" i="4" s="1"/>
  <c r="J229" i="4" s="1"/>
  <c r="F231" i="4"/>
  <c r="F230" i="4" s="1"/>
  <c r="H230" i="4"/>
  <c r="G230" i="4"/>
  <c r="I226" i="4"/>
  <c r="I225" i="4" s="1"/>
  <c r="I224" i="4" s="1"/>
  <c r="J225" i="4"/>
  <c r="J224" i="4" s="1"/>
  <c r="H225" i="4"/>
  <c r="G225" i="4"/>
  <c r="F225" i="4"/>
  <c r="F224" i="4" s="1"/>
  <c r="H221" i="4"/>
  <c r="H220" i="4" s="1"/>
  <c r="G221" i="4"/>
  <c r="G220" i="4" s="1"/>
  <c r="F221" i="4"/>
  <c r="F220" i="4" s="1"/>
  <c r="F219" i="4"/>
  <c r="I218" i="4"/>
  <c r="I217" i="4" s="1"/>
  <c r="H218" i="4"/>
  <c r="H217" i="4" s="1"/>
  <c r="G218" i="4"/>
  <c r="G217" i="4" s="1"/>
  <c r="F216" i="4"/>
  <c r="I216" i="4" s="1"/>
  <c r="I215" i="4" s="1"/>
  <c r="I214" i="4" s="1"/>
  <c r="J215" i="4"/>
  <c r="J214" i="4" s="1"/>
  <c r="H215" i="4"/>
  <c r="H214" i="4" s="1"/>
  <c r="G215" i="4"/>
  <c r="G214" i="4" s="1"/>
  <c r="G213" i="4" s="1"/>
  <c r="F215" i="4"/>
  <c r="F214" i="4" s="1"/>
  <c r="I206" i="4"/>
  <c r="J205" i="4"/>
  <c r="I205" i="4" s="1"/>
  <c r="J204" i="4"/>
  <c r="I204" i="4" s="1"/>
  <c r="I203" i="4"/>
  <c r="I202" i="4" s="1"/>
  <c r="J202" i="4"/>
  <c r="J199" i="4" s="1"/>
  <c r="J198" i="4" s="1"/>
  <c r="H202" i="4"/>
  <c r="H199" i="4" s="1"/>
  <c r="H198" i="4" s="1"/>
  <c r="G202" i="4"/>
  <c r="G199" i="4" s="1"/>
  <c r="G198" i="4" s="1"/>
  <c r="F202" i="4"/>
  <c r="F199" i="4" s="1"/>
  <c r="F198" i="4" s="1"/>
  <c r="I201" i="4"/>
  <c r="J200" i="4"/>
  <c r="I200" i="4" s="1"/>
  <c r="I199" i="4" s="1"/>
  <c r="I198" i="4" s="1"/>
  <c r="F197" i="4"/>
  <c r="I197" i="4" s="1"/>
  <c r="I196" i="4" s="1"/>
  <c r="I195" i="4" s="1"/>
  <c r="J196" i="4"/>
  <c r="J195" i="4" s="1"/>
  <c r="H196" i="4"/>
  <c r="H195" i="4" s="1"/>
  <c r="G196" i="4"/>
  <c r="G195" i="4" s="1"/>
  <c r="F196" i="4"/>
  <c r="F195" i="4" s="1"/>
  <c r="I194" i="4"/>
  <c r="I193" i="4" s="1"/>
  <c r="I192" i="4" s="1"/>
  <c r="G194" i="4"/>
  <c r="G193" i="4" s="1"/>
  <c r="G192" i="4" s="1"/>
  <c r="J193" i="4"/>
  <c r="J192" i="4" s="1"/>
  <c r="H193" i="4"/>
  <c r="H192" i="4" s="1"/>
  <c r="F193" i="4"/>
  <c r="F192" i="4" s="1"/>
  <c r="I191" i="4"/>
  <c r="I190" i="4" s="1"/>
  <c r="I189" i="4" s="1"/>
  <c r="J190" i="4"/>
  <c r="J189" i="4" s="1"/>
  <c r="H190" i="4"/>
  <c r="H189" i="4" s="1"/>
  <c r="G190" i="4"/>
  <c r="G189" i="4" s="1"/>
  <c r="F190" i="4"/>
  <c r="F189" i="4" s="1"/>
  <c r="I187" i="4"/>
  <c r="J186" i="4"/>
  <c r="I186" i="4" s="1"/>
  <c r="F173" i="4"/>
  <c r="I173" i="4" s="1"/>
  <c r="I172" i="4" s="1"/>
  <c r="I171" i="4" s="1"/>
  <c r="I170" i="4" s="1"/>
  <c r="J172" i="4"/>
  <c r="J171" i="4" s="1"/>
  <c r="J170" i="4" s="1"/>
  <c r="H172" i="4"/>
  <c r="H171" i="4" s="1"/>
  <c r="H170" i="4" s="1"/>
  <c r="G172" i="4"/>
  <c r="G171" i="4" s="1"/>
  <c r="G170" i="4" s="1"/>
  <c r="F172" i="4"/>
  <c r="F171" i="4" s="1"/>
  <c r="F170" i="4" s="1"/>
  <c r="I169" i="4"/>
  <c r="I168" i="4" s="1"/>
  <c r="I167" i="4" s="1"/>
  <c r="I166" i="4" s="1"/>
  <c r="F169" i="4"/>
  <c r="F168" i="4" s="1"/>
  <c r="F167" i="4" s="1"/>
  <c r="F166" i="4" s="1"/>
  <c r="H168" i="4"/>
  <c r="H167" i="4" s="1"/>
  <c r="H166" i="4" s="1"/>
  <c r="G168" i="4"/>
  <c r="G167" i="4" s="1"/>
  <c r="G166" i="4" s="1"/>
  <c r="I158" i="4"/>
  <c r="J157" i="4"/>
  <c r="I157" i="4" s="1"/>
  <c r="F155" i="4"/>
  <c r="I155" i="4" s="1"/>
  <c r="I154" i="4" s="1"/>
  <c r="I153" i="4" s="1"/>
  <c r="J154" i="4"/>
  <c r="J153" i="4" s="1"/>
  <c r="H154" i="4"/>
  <c r="H153" i="4" s="1"/>
  <c r="H152" i="4" s="1"/>
  <c r="G154" i="4"/>
  <c r="G153" i="4" s="1"/>
  <c r="G152" i="4" s="1"/>
  <c r="I151" i="4"/>
  <c r="I150" i="4" s="1"/>
  <c r="I149" i="4" s="1"/>
  <c r="J150" i="4"/>
  <c r="J149" i="4" s="1"/>
  <c r="H150" i="4"/>
  <c r="H149" i="4" s="1"/>
  <c r="G150" i="4"/>
  <c r="G149" i="4" s="1"/>
  <c r="F150" i="4"/>
  <c r="F149" i="4" s="1"/>
  <c r="F148" i="4"/>
  <c r="I148" i="4" s="1"/>
  <c r="I147" i="4" s="1"/>
  <c r="I146" i="4" s="1"/>
  <c r="J147" i="4"/>
  <c r="J146" i="4" s="1"/>
  <c r="H147" i="4"/>
  <c r="H146" i="4" s="1"/>
  <c r="G147" i="4"/>
  <c r="G146" i="4" s="1"/>
  <c r="J140" i="4"/>
  <c r="I140" i="4" s="1"/>
  <c r="I139" i="4" s="1"/>
  <c r="I138" i="4" s="1"/>
  <c r="H140" i="4"/>
  <c r="H139" i="4" s="1"/>
  <c r="H138" i="4" s="1"/>
  <c r="G140" i="4"/>
  <c r="G139" i="4" s="1"/>
  <c r="G138" i="4" s="1"/>
  <c r="F139" i="4"/>
  <c r="F138" i="4" s="1"/>
  <c r="H137" i="4"/>
  <c r="H136" i="4" s="1"/>
  <c r="G137" i="4"/>
  <c r="G136" i="4" s="1"/>
  <c r="F137" i="4"/>
  <c r="F136" i="4" s="1"/>
  <c r="J136" i="4"/>
  <c r="I136" i="4"/>
  <c r="J134" i="4"/>
  <c r="J133" i="4" s="1"/>
  <c r="H134" i="4"/>
  <c r="G134" i="4"/>
  <c r="G133" i="4" s="1"/>
  <c r="F134" i="4"/>
  <c r="F133" i="4" s="1"/>
  <c r="I128" i="4"/>
  <c r="I127" i="4" s="1"/>
  <c r="J127" i="4"/>
  <c r="F127" i="4"/>
  <c r="I126" i="4"/>
  <c r="I125" i="4" s="1"/>
  <c r="J125" i="4"/>
  <c r="F125" i="4"/>
  <c r="H124" i="4"/>
  <c r="H123" i="4" s="1"/>
  <c r="G124" i="4"/>
  <c r="G122" i="4" s="1"/>
  <c r="G121" i="4" s="1"/>
  <c r="I120" i="4"/>
  <c r="J119" i="4"/>
  <c r="I119" i="4" s="1"/>
  <c r="H117" i="4"/>
  <c r="G117" i="4"/>
  <c r="F117" i="4"/>
  <c r="I116" i="4"/>
  <c r="I115" i="4"/>
  <c r="J114" i="4"/>
  <c r="H114" i="4"/>
  <c r="G114" i="4"/>
  <c r="F114" i="4"/>
  <c r="F111" i="4"/>
  <c r="F110" i="4" s="1"/>
  <c r="J110" i="4"/>
  <c r="I110" i="4"/>
  <c r="H110" i="4"/>
  <c r="H109" i="4" s="1"/>
  <c r="H108" i="4" s="1"/>
  <c r="G110" i="4"/>
  <c r="I107" i="4"/>
  <c r="I106" i="4" s="1"/>
  <c r="I105" i="4" s="1"/>
  <c r="F107" i="4"/>
  <c r="F106" i="4" s="1"/>
  <c r="F105" i="4" s="1"/>
  <c r="H106" i="4"/>
  <c r="H105" i="4" s="1"/>
  <c r="G106" i="4"/>
  <c r="G105" i="4" s="1"/>
  <c r="I104" i="4"/>
  <c r="I103" i="4" s="1"/>
  <c r="I102" i="4" s="1"/>
  <c r="G104" i="4"/>
  <c r="G103" i="4" s="1"/>
  <c r="G102" i="4" s="1"/>
  <c r="J103" i="4"/>
  <c r="J102" i="4" s="1"/>
  <c r="H103" i="4"/>
  <c r="H102" i="4" s="1"/>
  <c r="F103" i="4"/>
  <c r="F102" i="4" s="1"/>
  <c r="F100" i="4"/>
  <c r="I100" i="4" s="1"/>
  <c r="I99" i="4" s="1"/>
  <c r="J99" i="4"/>
  <c r="H99" i="4"/>
  <c r="G99" i="4"/>
  <c r="F98" i="4"/>
  <c r="I98" i="4" s="1"/>
  <c r="I97" i="4" s="1"/>
  <c r="J97" i="4"/>
  <c r="F95" i="4"/>
  <c r="I95" i="4" s="1"/>
  <c r="I94" i="4" s="1"/>
  <c r="I93" i="4" s="1"/>
  <c r="J94" i="4"/>
  <c r="J93" i="4" s="1"/>
  <c r="H94" i="4"/>
  <c r="G94" i="4"/>
  <c r="F91" i="4"/>
  <c r="F90" i="4" s="1"/>
  <c r="F89" i="4" s="1"/>
  <c r="F88" i="4" s="1"/>
  <c r="J90" i="4"/>
  <c r="J89" i="4" s="1"/>
  <c r="J88" i="4" s="1"/>
  <c r="H90" i="4"/>
  <c r="H89" i="4" s="1"/>
  <c r="H88" i="4" s="1"/>
  <c r="G90" i="4"/>
  <c r="G89" i="4" s="1"/>
  <c r="G88" i="4" s="1"/>
  <c r="F87" i="4"/>
  <c r="I87" i="4" s="1"/>
  <c r="I86" i="4" s="1"/>
  <c r="I85" i="4" s="1"/>
  <c r="I84" i="4" s="1"/>
  <c r="J86" i="4"/>
  <c r="J85" i="4" s="1"/>
  <c r="J84" i="4" s="1"/>
  <c r="H86" i="4"/>
  <c r="H85" i="4" s="1"/>
  <c r="H84" i="4" s="1"/>
  <c r="G86" i="4"/>
  <c r="G85" i="4" s="1"/>
  <c r="G84" i="4" s="1"/>
  <c r="F86" i="4"/>
  <c r="F85" i="4" s="1"/>
  <c r="F84" i="4" s="1"/>
  <c r="I83" i="4"/>
  <c r="I82" i="4" s="1"/>
  <c r="I81" i="4" s="1"/>
  <c r="I80" i="4" s="1"/>
  <c r="J82" i="4"/>
  <c r="J81" i="4" s="1"/>
  <c r="J80" i="4" s="1"/>
  <c r="H82" i="4"/>
  <c r="H81" i="4" s="1"/>
  <c r="H80" i="4" s="1"/>
  <c r="G82" i="4"/>
  <c r="G81" i="4" s="1"/>
  <c r="G80" i="4" s="1"/>
  <c r="F82" i="4"/>
  <c r="F81" i="4" s="1"/>
  <c r="F80" i="4" s="1"/>
  <c r="I79" i="4"/>
  <c r="I78" i="4" s="1"/>
  <c r="I77" i="4" s="1"/>
  <c r="J78" i="4"/>
  <c r="J77" i="4" s="1"/>
  <c r="H78" i="4"/>
  <c r="H77" i="4" s="1"/>
  <c r="G78" i="4"/>
  <c r="G77" i="4" s="1"/>
  <c r="F78" i="4"/>
  <c r="F77" i="4" s="1"/>
  <c r="I76" i="4"/>
  <c r="J76" i="4" s="1"/>
  <c r="H76" i="4"/>
  <c r="G75" i="4"/>
  <c r="G71" i="4" s="1"/>
  <c r="F75" i="4"/>
  <c r="F71" i="4" s="1"/>
  <c r="I73" i="4"/>
  <c r="J73" i="4" s="1"/>
  <c r="J72" i="4" s="1"/>
  <c r="I68" i="4"/>
  <c r="I67" i="4" s="1"/>
  <c r="I66" i="4" s="1"/>
  <c r="I65" i="4" s="1"/>
  <c r="I64" i="4" s="1"/>
  <c r="J67" i="4"/>
  <c r="J66" i="4" s="1"/>
  <c r="J65" i="4" s="1"/>
  <c r="H67" i="4"/>
  <c r="H66" i="4" s="1"/>
  <c r="H65" i="4" s="1"/>
  <c r="H64" i="4" s="1"/>
  <c r="G67" i="4"/>
  <c r="G66" i="4" s="1"/>
  <c r="G65" i="4" s="1"/>
  <c r="G64" i="4" s="1"/>
  <c r="F67" i="4"/>
  <c r="F66" i="4" s="1"/>
  <c r="F65" i="4" s="1"/>
  <c r="F64" i="4" s="1"/>
  <c r="I63" i="4"/>
  <c r="I62" i="4" s="1"/>
  <c r="I61" i="4" s="1"/>
  <c r="G63" i="4"/>
  <c r="G62" i="4" s="1"/>
  <c r="G61" i="4" s="1"/>
  <c r="J62" i="4"/>
  <c r="J61" i="4" s="1"/>
  <c r="H62" i="4"/>
  <c r="H61" i="4" s="1"/>
  <c r="F62" i="4"/>
  <c r="F61" i="4" s="1"/>
  <c r="I60" i="4"/>
  <c r="I59" i="4" s="1"/>
  <c r="I58" i="4" s="1"/>
  <c r="J59" i="4"/>
  <c r="J58" i="4" s="1"/>
  <c r="H59" i="4"/>
  <c r="H58" i="4" s="1"/>
  <c r="G59" i="4"/>
  <c r="G58" i="4" s="1"/>
  <c r="F59" i="4"/>
  <c r="F58" i="4" s="1"/>
  <c r="I55" i="4"/>
  <c r="I54" i="4" s="1"/>
  <c r="I53" i="4" s="1"/>
  <c r="J54" i="4"/>
  <c r="J53" i="4" s="1"/>
  <c r="H54" i="4"/>
  <c r="H53" i="4" s="1"/>
  <c r="G54" i="4"/>
  <c r="G53" i="4" s="1"/>
  <c r="F54" i="4"/>
  <c r="F53" i="4" s="1"/>
  <c r="F50" i="4"/>
  <c r="I50" i="4" s="1"/>
  <c r="I49" i="4" s="1"/>
  <c r="I48" i="4" s="1"/>
  <c r="J49" i="4"/>
  <c r="J48" i="4" s="1"/>
  <c r="H49" i="4"/>
  <c r="H48" i="4" s="1"/>
  <c r="G49" i="4"/>
  <c r="G48" i="4" s="1"/>
  <c r="I47" i="4"/>
  <c r="I46" i="4" s="1"/>
  <c r="J46" i="4"/>
  <c r="H46" i="4"/>
  <c r="G46" i="4"/>
  <c r="F46" i="4"/>
  <c r="H45" i="4"/>
  <c r="H44" i="4" s="1"/>
  <c r="G45" i="4"/>
  <c r="G44" i="4" s="1"/>
  <c r="F45" i="4"/>
  <c r="F44" i="4" s="1"/>
  <c r="J44" i="4"/>
  <c r="I44" i="4"/>
  <c r="H43" i="4"/>
  <c r="H42" i="4" s="1"/>
  <c r="G43" i="4"/>
  <c r="G42" i="4" s="1"/>
  <c r="F43" i="4"/>
  <c r="I43" i="4" s="1"/>
  <c r="I42" i="4" s="1"/>
  <c r="J42" i="4"/>
  <c r="F38" i="4"/>
  <c r="F37" i="4" s="1"/>
  <c r="F36" i="4" s="1"/>
  <c r="J37" i="4"/>
  <c r="J36" i="4" s="1"/>
  <c r="H37" i="4"/>
  <c r="H36" i="4" s="1"/>
  <c r="G37" i="4"/>
  <c r="G36" i="4" s="1"/>
  <c r="I35" i="4"/>
  <c r="I34" i="4" s="1"/>
  <c r="J34" i="4"/>
  <c r="H34" i="4"/>
  <c r="G34" i="4"/>
  <c r="F34" i="4"/>
  <c r="H33" i="4"/>
  <c r="H32" i="4" s="1"/>
  <c r="G33" i="4"/>
  <c r="G32" i="4" s="1"/>
  <c r="F33" i="4"/>
  <c r="J33" i="4" s="1"/>
  <c r="I32" i="4"/>
  <c r="J31" i="4"/>
  <c r="H31" i="4"/>
  <c r="H30" i="4" s="1"/>
  <c r="G31" i="4"/>
  <c r="F31" i="4"/>
  <c r="F30" i="4" s="1"/>
  <c r="G30" i="4"/>
  <c r="I26" i="4"/>
  <c r="I25" i="4" s="1"/>
  <c r="I24" i="4" s="1"/>
  <c r="J25" i="4"/>
  <c r="J24" i="4" s="1"/>
  <c r="H25" i="4"/>
  <c r="H24" i="4" s="1"/>
  <c r="G25" i="4"/>
  <c r="G24" i="4" s="1"/>
  <c r="F25" i="4"/>
  <c r="F24" i="4" s="1"/>
  <c r="F23" i="4"/>
  <c r="J23" i="4" s="1"/>
  <c r="I22" i="4"/>
  <c r="I21" i="4" s="1"/>
  <c r="H22" i="4"/>
  <c r="H21" i="4" s="1"/>
  <c r="G22" i="4"/>
  <c r="G21" i="4" s="1"/>
  <c r="I20" i="4"/>
  <c r="I19" i="4" s="1"/>
  <c r="J19" i="4"/>
  <c r="H19" i="4"/>
  <c r="G19" i="4"/>
  <c r="F19" i="4"/>
  <c r="H18" i="4"/>
  <c r="H17" i="4" s="1"/>
  <c r="G18" i="4"/>
  <c r="G17" i="4" s="1"/>
  <c r="F18" i="4"/>
  <c r="F17" i="4" s="1"/>
  <c r="I17" i="4"/>
  <c r="H16" i="4"/>
  <c r="G16" i="4"/>
  <c r="G15" i="4" s="1"/>
  <c r="F16" i="4"/>
  <c r="I16" i="4" s="1"/>
  <c r="I15" i="4" s="1"/>
  <c r="J15" i="4"/>
  <c r="H15" i="4"/>
  <c r="D9" i="4"/>
  <c r="F99" i="4" l="1"/>
  <c r="I101" i="4"/>
  <c r="I423" i="4"/>
  <c r="I422" i="4" s="1"/>
  <c r="L423" i="4"/>
  <c r="O162" i="4"/>
  <c r="O144" i="4" s="1"/>
  <c r="R144" i="4" s="1"/>
  <c r="O163" i="4"/>
  <c r="J370" i="4"/>
  <c r="L371" i="4"/>
  <c r="J124" i="4"/>
  <c r="J123" i="4" s="1"/>
  <c r="J277" i="4"/>
  <c r="G282" i="4"/>
  <c r="L73" i="4"/>
  <c r="L72" i="4" s="1"/>
  <c r="J75" i="4"/>
  <c r="J71" i="4" s="1"/>
  <c r="J70" i="4" s="1"/>
  <c r="L76" i="4"/>
  <c r="J139" i="4"/>
  <c r="J138" i="4" s="1"/>
  <c r="J331" i="4"/>
  <c r="J426" i="4"/>
  <c r="J22" i="4"/>
  <c r="J21" i="4" s="1"/>
  <c r="L23" i="4"/>
  <c r="H75" i="4"/>
  <c r="H71" i="4" s="1"/>
  <c r="H70" i="4" s="1"/>
  <c r="J96" i="4"/>
  <c r="I402" i="4"/>
  <c r="J32" i="4"/>
  <c r="L33" i="4"/>
  <c r="H133" i="4"/>
  <c r="K132" i="4"/>
  <c r="K131" i="4" s="1"/>
  <c r="K130" i="4" s="1"/>
  <c r="K129" i="4" s="1"/>
  <c r="K10" i="4" s="1"/>
  <c r="K9" i="4" s="1"/>
  <c r="I114" i="4"/>
  <c r="I109" i="4" s="1"/>
  <c r="I108" i="4" s="1"/>
  <c r="F124" i="4"/>
  <c r="F123" i="4" s="1"/>
  <c r="I134" i="4"/>
  <c r="I133" i="4" s="1"/>
  <c r="I132" i="4" s="1"/>
  <c r="I131" i="4" s="1"/>
  <c r="I130" i="4" s="1"/>
  <c r="I129" i="4" s="1"/>
  <c r="H402" i="4"/>
  <c r="H14" i="4"/>
  <c r="I31" i="4"/>
  <c r="I30" i="4" s="1"/>
  <c r="I29" i="4" s="1"/>
  <c r="I38" i="4"/>
  <c r="I37" i="4" s="1"/>
  <c r="I36" i="4" s="1"/>
  <c r="I96" i="4"/>
  <c r="J118" i="4"/>
  <c r="I118" i="4" s="1"/>
  <c r="I117" i="4" s="1"/>
  <c r="G123" i="4"/>
  <c r="J156" i="4"/>
  <c r="I156" i="4" s="1"/>
  <c r="I152" i="4" s="1"/>
  <c r="J234" i="4"/>
  <c r="I234" i="4" s="1"/>
  <c r="J270" i="4"/>
  <c r="F277" i="4"/>
  <c r="F282" i="4"/>
  <c r="G309" i="4"/>
  <c r="G319" i="4"/>
  <c r="I340" i="4"/>
  <c r="I339" i="4" s="1"/>
  <c r="I338" i="4" s="1"/>
  <c r="G346" i="4"/>
  <c r="J372" i="4"/>
  <c r="J383" i="4"/>
  <c r="F147" i="4"/>
  <c r="F146" i="4" s="1"/>
  <c r="F145" i="4" s="1"/>
  <c r="F269" i="4"/>
  <c r="G109" i="4"/>
  <c r="G108" i="4" s="1"/>
  <c r="F109" i="4"/>
  <c r="F108" i="4" s="1"/>
  <c r="H238" i="4"/>
  <c r="H237" i="4" s="1"/>
  <c r="G277" i="4"/>
  <c r="I311" i="4"/>
  <c r="I310" i="4" s="1"/>
  <c r="J319" i="4"/>
  <c r="F332" i="4"/>
  <c r="F331" i="4" s="1"/>
  <c r="H331" i="4"/>
  <c r="H368" i="4"/>
  <c r="J391" i="4"/>
  <c r="I391" i="4" s="1"/>
  <c r="J402" i="4"/>
  <c r="I419" i="4"/>
  <c r="J422" i="4"/>
  <c r="J419" i="4" s="1"/>
  <c r="J401" i="4" s="1"/>
  <c r="J395" i="4" s="1"/>
  <c r="J394" i="4" s="1"/>
  <c r="G93" i="4"/>
  <c r="G92" i="4" s="1"/>
  <c r="H132" i="4"/>
  <c r="H131" i="4" s="1"/>
  <c r="H130" i="4" s="1"/>
  <c r="H129" i="4" s="1"/>
  <c r="I268" i="4"/>
  <c r="I267" i="4" s="1"/>
  <c r="I266" i="4" s="1"/>
  <c r="I346" i="4"/>
  <c r="F368" i="4"/>
  <c r="I372" i="4"/>
  <c r="H93" i="4"/>
  <c r="H92" i="4" s="1"/>
  <c r="F165" i="4"/>
  <c r="H319" i="4"/>
  <c r="F346" i="4"/>
  <c r="H383" i="4"/>
  <c r="G14" i="4"/>
  <c r="G13" i="4" s="1"/>
  <c r="G12" i="4" s="1"/>
  <c r="F42" i="4"/>
  <c r="F41" i="4" s="1"/>
  <c r="H29" i="4"/>
  <c r="H28" i="4" s="1"/>
  <c r="H27" i="4" s="1"/>
  <c r="F49" i="4"/>
  <c r="F48" i="4" s="1"/>
  <c r="J18" i="4"/>
  <c r="L18" i="4" s="1"/>
  <c r="J30" i="4"/>
  <c r="J29" i="4" s="1"/>
  <c r="J28" i="4" s="1"/>
  <c r="J27" i="4" s="1"/>
  <c r="F94" i="4"/>
  <c r="F93" i="4" s="1"/>
  <c r="F97" i="4"/>
  <c r="F96" i="4" s="1"/>
  <c r="J109" i="4"/>
  <c r="J108" i="4" s="1"/>
  <c r="H122" i="4"/>
  <c r="H121" i="4" s="1"/>
  <c r="J132" i="4"/>
  <c r="J131" i="4" s="1"/>
  <c r="F188" i="4"/>
  <c r="F183" i="4" s="1"/>
  <c r="J223" i="4"/>
  <c r="I242" i="4"/>
  <c r="I241" i="4" s="1"/>
  <c r="J262" i="4"/>
  <c r="H282" i="4"/>
  <c r="F319" i="4"/>
  <c r="G331" i="4"/>
  <c r="H346" i="4"/>
  <c r="I389" i="4"/>
  <c r="I388" i="4" s="1"/>
  <c r="I387" i="4" s="1"/>
  <c r="I383" i="4" s="1"/>
  <c r="G402" i="4"/>
  <c r="G401" i="4" s="1"/>
  <c r="G395" i="4" s="1"/>
  <c r="G394" i="4" s="1"/>
  <c r="G41" i="4"/>
  <c r="G40" i="4" s="1"/>
  <c r="G39" i="4" s="1"/>
  <c r="H401" i="4"/>
  <c r="H395" i="4" s="1"/>
  <c r="H394" i="4" s="1"/>
  <c r="G132" i="4"/>
  <c r="G131" i="4" s="1"/>
  <c r="G130" i="4" s="1"/>
  <c r="G129" i="4" s="1"/>
  <c r="F132" i="4"/>
  <c r="F131" i="4" s="1"/>
  <c r="F130" i="4" s="1"/>
  <c r="F129" i="4" s="1"/>
  <c r="J152" i="4"/>
  <c r="G165" i="4"/>
  <c r="H224" i="4"/>
  <c r="H223" i="4" s="1"/>
  <c r="I231" i="4"/>
  <c r="I230" i="4" s="1"/>
  <c r="I223" i="4" s="1"/>
  <c r="F238" i="4"/>
  <c r="F237" i="4" s="1"/>
  <c r="I265" i="4"/>
  <c r="I264" i="4" s="1"/>
  <c r="I263" i="4" s="1"/>
  <c r="I262" i="4" s="1"/>
  <c r="J364" i="4"/>
  <c r="J363" i="4" s="1"/>
  <c r="J369" i="4"/>
  <c r="J368" i="4" s="1"/>
  <c r="F22" i="4"/>
  <c r="F21" i="4" s="1"/>
  <c r="G29" i="4"/>
  <c r="G28" i="4" s="1"/>
  <c r="G27" i="4" s="1"/>
  <c r="H52" i="4"/>
  <c r="H51" i="4" s="1"/>
  <c r="F154" i="4"/>
  <c r="F153" i="4" s="1"/>
  <c r="F152" i="4" s="1"/>
  <c r="F223" i="4"/>
  <c r="G273" i="4"/>
  <c r="I282" i="4"/>
  <c r="J349" i="4"/>
  <c r="J346" i="4" s="1"/>
  <c r="J327" i="4" s="1"/>
  <c r="J354" i="4"/>
  <c r="H13" i="4"/>
  <c r="H12" i="4" s="1"/>
  <c r="I14" i="4"/>
  <c r="I13" i="4" s="1"/>
  <c r="I12" i="4" s="1"/>
  <c r="J41" i="4"/>
  <c r="J40" i="4" s="1"/>
  <c r="J39" i="4" s="1"/>
  <c r="H188" i="4"/>
  <c r="H183" i="4" s="1"/>
  <c r="J188" i="4"/>
  <c r="J183" i="4" s="1"/>
  <c r="H213" i="4"/>
  <c r="J238" i="4"/>
  <c r="J237" i="4" s="1"/>
  <c r="H262" i="4"/>
  <c r="J282" i="4"/>
  <c r="J273" i="4" s="1"/>
  <c r="G368" i="4"/>
  <c r="I409" i="4"/>
  <c r="G52" i="4"/>
  <c r="G51" i="4" s="1"/>
  <c r="J122" i="4"/>
  <c r="J121" i="4" s="1"/>
  <c r="I426" i="4"/>
  <c r="I425" i="4" s="1"/>
  <c r="I424" i="4" s="1"/>
  <c r="H165" i="4"/>
  <c r="I277" i="4"/>
  <c r="I41" i="4"/>
  <c r="I40" i="4" s="1"/>
  <c r="I39" i="4" s="1"/>
  <c r="F70" i="4"/>
  <c r="J309" i="4"/>
  <c r="J308" i="4" s="1"/>
  <c r="I145" i="4"/>
  <c r="G70" i="4"/>
  <c r="H101" i="4"/>
  <c r="H145" i="4"/>
  <c r="H144" i="4" s="1"/>
  <c r="F52" i="4"/>
  <c r="F51" i="4" s="1"/>
  <c r="J145" i="4"/>
  <c r="F101" i="4"/>
  <c r="J52" i="4"/>
  <c r="G101" i="4"/>
  <c r="G145" i="4"/>
  <c r="G144" i="4" s="1"/>
  <c r="I52" i="4"/>
  <c r="I51" i="4" s="1"/>
  <c r="I188" i="4"/>
  <c r="I183" i="4" s="1"/>
  <c r="J64" i="4"/>
  <c r="I28" i="4"/>
  <c r="I27" i="4" s="1"/>
  <c r="J92" i="4"/>
  <c r="I92" i="4"/>
  <c r="I124" i="4"/>
  <c r="I165" i="4"/>
  <c r="H41" i="4"/>
  <c r="H40" i="4" s="1"/>
  <c r="H39" i="4" s="1"/>
  <c r="I75" i="4"/>
  <c r="I71" i="4" s="1"/>
  <c r="I70" i="4" s="1"/>
  <c r="I91" i="4"/>
  <c r="I90" i="4" s="1"/>
  <c r="I89" i="4" s="1"/>
  <c r="I88" i="4" s="1"/>
  <c r="J107" i="4"/>
  <c r="F15" i="4"/>
  <c r="F14" i="4" s="1"/>
  <c r="F32" i="4"/>
  <c r="F29" i="4" s="1"/>
  <c r="F28" i="4" s="1"/>
  <c r="F27" i="4" s="1"/>
  <c r="I72" i="4"/>
  <c r="J185" i="4"/>
  <c r="G188" i="4"/>
  <c r="G183" i="4" s="1"/>
  <c r="F218" i="4"/>
  <c r="F217" i="4" s="1"/>
  <c r="F213" i="4" s="1"/>
  <c r="F207" i="4" s="1"/>
  <c r="J219" i="4"/>
  <c r="G238" i="4"/>
  <c r="G237" i="4" s="1"/>
  <c r="J169" i="4"/>
  <c r="I221" i="4"/>
  <c r="J222" i="4"/>
  <c r="J117" i="4"/>
  <c r="G224" i="4"/>
  <c r="G223" i="4" s="1"/>
  <c r="I238" i="4"/>
  <c r="I237" i="4" s="1"/>
  <c r="G262" i="4"/>
  <c r="F262" i="4"/>
  <c r="H277" i="4"/>
  <c r="H273" i="4" s="1"/>
  <c r="H309" i="4"/>
  <c r="H308" i="4" s="1"/>
  <c r="I313" i="4"/>
  <c r="I312" i="4" s="1"/>
  <c r="F312" i="4"/>
  <c r="F309" i="4" s="1"/>
  <c r="G327" i="4"/>
  <c r="G383" i="4"/>
  <c r="F383" i="4"/>
  <c r="G426" i="4"/>
  <c r="G425" i="4" s="1"/>
  <c r="G424" i="4" s="1"/>
  <c r="F426" i="4"/>
  <c r="F425" i="4" s="1"/>
  <c r="F424" i="4" s="1"/>
  <c r="I331" i="4"/>
  <c r="I269" i="4"/>
  <c r="H426" i="4"/>
  <c r="H425" i="4" s="1"/>
  <c r="H424" i="4" s="1"/>
  <c r="I435" i="4"/>
  <c r="I433" i="4"/>
  <c r="J294" i="4"/>
  <c r="J425" i="4"/>
  <c r="J424" i="4" s="1"/>
  <c r="F433" i="4"/>
  <c r="F435" i="4"/>
  <c r="J435" i="4"/>
  <c r="J433" i="4"/>
  <c r="I366" i="4"/>
  <c r="I365" i="4" s="1"/>
  <c r="I364" i="4" s="1"/>
  <c r="I363" i="4" s="1"/>
  <c r="I371" i="4"/>
  <c r="I370" i="4" s="1"/>
  <c r="I369" i="4" s="1"/>
  <c r="I379" i="4"/>
  <c r="I378" i="4" s="1"/>
  <c r="I377" i="4" s="1"/>
  <c r="J390" i="4"/>
  <c r="I390" i="4" s="1"/>
  <c r="F405" i="4"/>
  <c r="F402" i="4" s="1"/>
  <c r="F401" i="4" s="1"/>
  <c r="F395" i="4" s="1"/>
  <c r="F394" i="4" s="1"/>
  <c r="I416" i="4"/>
  <c r="I415" i="4" s="1"/>
  <c r="I414" i="4" s="1"/>
  <c r="I401" i="4" s="1"/>
  <c r="I395" i="4" s="1"/>
  <c r="I394" i="4" s="1"/>
  <c r="I303" i="4"/>
  <c r="I302" i="4" s="1"/>
  <c r="I301" i="4" s="1"/>
  <c r="I300" i="4" s="1"/>
  <c r="I343" i="4"/>
  <c r="I342" i="4" s="1"/>
  <c r="I341" i="4" s="1"/>
  <c r="F365" i="4"/>
  <c r="F364" i="4" s="1"/>
  <c r="F363" i="4" s="1"/>
  <c r="G308" i="4" l="1"/>
  <c r="I309" i="4"/>
  <c r="I308" i="4" s="1"/>
  <c r="F122" i="4"/>
  <c r="F121" i="4" s="1"/>
  <c r="J168" i="4"/>
  <c r="J167" i="4" s="1"/>
  <c r="J166" i="4" s="1"/>
  <c r="J165" i="4" s="1"/>
  <c r="L169" i="4"/>
  <c r="L22" i="4"/>
  <c r="L21" i="4" s="1"/>
  <c r="O23" i="4"/>
  <c r="O423" i="4"/>
  <c r="Q423" i="4" s="1"/>
  <c r="L422" i="4"/>
  <c r="L419" i="4" s="1"/>
  <c r="L401" i="4" s="1"/>
  <c r="L395" i="4" s="1"/>
  <c r="L394" i="4" s="1"/>
  <c r="O18" i="4"/>
  <c r="L17" i="4"/>
  <c r="L14" i="4" s="1"/>
  <c r="L32" i="4"/>
  <c r="L29" i="4" s="1"/>
  <c r="L28" i="4" s="1"/>
  <c r="L27" i="4" s="1"/>
  <c r="O33" i="4"/>
  <c r="L75" i="4"/>
  <c r="L71" i="4" s="1"/>
  <c r="L70" i="4" s="1"/>
  <c r="O76" i="4"/>
  <c r="L370" i="4"/>
  <c r="L369" i="4" s="1"/>
  <c r="L368" i="4" s="1"/>
  <c r="L362" i="4" s="1"/>
  <c r="L361" i="4" s="1"/>
  <c r="O371" i="4"/>
  <c r="G307" i="4"/>
  <c r="G306" i="4" s="1"/>
  <c r="H258" i="4"/>
  <c r="J221" i="4"/>
  <c r="L222" i="4"/>
  <c r="J218" i="4"/>
  <c r="J217" i="4" s="1"/>
  <c r="L219" i="4"/>
  <c r="F13" i="4"/>
  <c r="F12" i="4" s="1"/>
  <c r="H327" i="4"/>
  <c r="F273" i="4"/>
  <c r="F258" i="4" s="1"/>
  <c r="F182" i="4" s="1"/>
  <c r="J106" i="4"/>
  <c r="J105" i="4" s="1"/>
  <c r="J101" i="4" s="1"/>
  <c r="J69" i="4" s="1"/>
  <c r="L107" i="4"/>
  <c r="J17" i="4"/>
  <c r="J14" i="4" s="1"/>
  <c r="J13" i="4" s="1"/>
  <c r="J12" i="4" s="1"/>
  <c r="F144" i="4"/>
  <c r="F143" i="4" s="1"/>
  <c r="H143" i="4"/>
  <c r="F92" i="4"/>
  <c r="F69" i="4" s="1"/>
  <c r="F327" i="4"/>
  <c r="G207" i="4"/>
  <c r="F40" i="4"/>
  <c r="F39" i="4" s="1"/>
  <c r="H362" i="4"/>
  <c r="H361" i="4" s="1"/>
  <c r="I295" i="4"/>
  <c r="I294" i="4" s="1"/>
  <c r="J362" i="4"/>
  <c r="J361" i="4" s="1"/>
  <c r="H207" i="4"/>
  <c r="F308" i="4"/>
  <c r="I185" i="4"/>
  <c r="I184" i="4" s="1"/>
  <c r="J184" i="4"/>
  <c r="H307" i="4"/>
  <c r="H306" i="4" s="1"/>
  <c r="G143" i="4"/>
  <c r="I273" i="4"/>
  <c r="I354" i="4"/>
  <c r="J353" i="4"/>
  <c r="J307" i="4" s="1"/>
  <c r="J306" i="4" s="1"/>
  <c r="G258" i="4"/>
  <c r="I258" i="4"/>
  <c r="J258" i="4"/>
  <c r="I327" i="4"/>
  <c r="G362" i="4"/>
  <c r="G361" i="4" s="1"/>
  <c r="J51" i="4"/>
  <c r="H69" i="4"/>
  <c r="H11" i="4" s="1"/>
  <c r="J144" i="4"/>
  <c r="I69" i="4"/>
  <c r="I11" i="4" s="1"/>
  <c r="G69" i="4"/>
  <c r="G11" i="4" s="1"/>
  <c r="I144" i="4"/>
  <c r="I143" i="4" s="1"/>
  <c r="F362" i="4"/>
  <c r="F361" i="4" s="1"/>
  <c r="I368" i="4"/>
  <c r="I362" i="4" s="1"/>
  <c r="I361" i="4" s="1"/>
  <c r="J130" i="4"/>
  <c r="I220" i="4"/>
  <c r="I213" i="4"/>
  <c r="I207" i="4" s="1"/>
  <c r="I123" i="4"/>
  <c r="I122" i="4"/>
  <c r="I121" i="4" s="1"/>
  <c r="O422" i="4" l="1"/>
  <c r="O419" i="4" s="1"/>
  <c r="O401" i="4" s="1"/>
  <c r="O395" i="4" s="1"/>
  <c r="O394" i="4" s="1"/>
  <c r="Q422" i="4"/>
  <c r="Q419" i="4" s="1"/>
  <c r="Q401" i="4" s="1"/>
  <c r="O32" i="4"/>
  <c r="O29" i="4" s="1"/>
  <c r="O28" i="4" s="1"/>
  <c r="O27" i="4" s="1"/>
  <c r="Q33" i="4"/>
  <c r="Q32" i="4" s="1"/>
  <c r="Q29" i="4" s="1"/>
  <c r="Q28" i="4" s="1"/>
  <c r="Q27" i="4" s="1"/>
  <c r="O17" i="4"/>
  <c r="O14" i="4" s="1"/>
  <c r="Q18" i="4"/>
  <c r="Q17" i="4" s="1"/>
  <c r="Q14" i="4" s="1"/>
  <c r="O370" i="4"/>
  <c r="O369" i="4" s="1"/>
  <c r="O368" i="4" s="1"/>
  <c r="Q371" i="4"/>
  <c r="Q370" i="4" s="1"/>
  <c r="Q369" i="4" s="1"/>
  <c r="O75" i="4"/>
  <c r="O71" i="4" s="1"/>
  <c r="O70" i="4" s="1"/>
  <c r="Q76" i="4"/>
  <c r="Q75" i="4" s="1"/>
  <c r="Q71" i="4" s="1"/>
  <c r="Q70" i="4" s="1"/>
  <c r="L13" i="4"/>
  <c r="L12" i="4" s="1"/>
  <c r="O22" i="4"/>
  <c r="O21" i="4" s="1"/>
  <c r="Q23" i="4"/>
  <c r="Q22" i="4" s="1"/>
  <c r="Q21" i="4" s="1"/>
  <c r="G182" i="4"/>
  <c r="G10" i="4" s="1"/>
  <c r="G9" i="4" s="1"/>
  <c r="H182" i="4"/>
  <c r="H10" i="4" s="1"/>
  <c r="H9" i="4" s="1"/>
  <c r="F307" i="4"/>
  <c r="F306" i="4" s="1"/>
  <c r="O169" i="4"/>
  <c r="L168" i="4"/>
  <c r="L167" i="4" s="1"/>
  <c r="L166" i="4" s="1"/>
  <c r="L165" i="4" s="1"/>
  <c r="L143" i="4" s="1"/>
  <c r="L106" i="4"/>
  <c r="L105" i="4" s="1"/>
  <c r="L101" i="4" s="1"/>
  <c r="L69" i="4" s="1"/>
  <c r="O107" i="4"/>
  <c r="Q107" i="4" s="1"/>
  <c r="L218" i="4"/>
  <c r="L217" i="4" s="1"/>
  <c r="O219" i="4"/>
  <c r="L221" i="4"/>
  <c r="L220" i="4" s="1"/>
  <c r="O222" i="4"/>
  <c r="J220" i="4"/>
  <c r="J213" i="4"/>
  <c r="J129" i="4"/>
  <c r="F11" i="4"/>
  <c r="J11" i="4"/>
  <c r="I353" i="4"/>
  <c r="I307" i="4" s="1"/>
  <c r="I306" i="4" s="1"/>
  <c r="J143" i="4"/>
  <c r="I182" i="4"/>
  <c r="T70" i="4" l="1"/>
  <c r="T9" i="4" s="1"/>
  <c r="Q368" i="4"/>
  <c r="Q395" i="4"/>
  <c r="Q394" i="4" s="1"/>
  <c r="O13" i="4"/>
  <c r="O12" i="4" s="1"/>
  <c r="O168" i="4"/>
  <c r="O167" i="4" s="1"/>
  <c r="O166" i="4" s="1"/>
  <c r="O165" i="4" s="1"/>
  <c r="Q169" i="4"/>
  <c r="Q168" i="4" s="1"/>
  <c r="Q167" i="4" s="1"/>
  <c r="Q166" i="4" s="1"/>
  <c r="L11" i="4"/>
  <c r="O221" i="4"/>
  <c r="O220" i="4" s="1"/>
  <c r="Q222" i="4"/>
  <c r="Q221" i="4" s="1"/>
  <c r="Q220" i="4" s="1"/>
  <c r="O218" i="4"/>
  <c r="O217" i="4" s="1"/>
  <c r="Q219" i="4"/>
  <c r="Q218" i="4" s="1"/>
  <c r="Q217" i="4" s="1"/>
  <c r="O106" i="4"/>
  <c r="O105" i="4" s="1"/>
  <c r="O101" i="4" s="1"/>
  <c r="O69" i="4" s="1"/>
  <c r="O11" i="4" s="1"/>
  <c r="Q106" i="4"/>
  <c r="Q105" i="4" s="1"/>
  <c r="Q101" i="4" s="1"/>
  <c r="Q13" i="4"/>
  <c r="Q12" i="4" s="1"/>
  <c r="O362" i="4"/>
  <c r="O213" i="4"/>
  <c r="O207" i="4" s="1"/>
  <c r="L213" i="4"/>
  <c r="L207" i="4" s="1"/>
  <c r="L182" i="4" s="1"/>
  <c r="F10" i="4"/>
  <c r="F9" i="4" s="1"/>
  <c r="O143" i="4"/>
  <c r="J207" i="4"/>
  <c r="J182" i="4" s="1"/>
  <c r="J10" i="4" s="1"/>
  <c r="J9" i="4" s="1"/>
  <c r="I10" i="4"/>
  <c r="I9" i="4" s="1"/>
  <c r="Q213" i="4" l="1"/>
  <c r="Q362" i="4"/>
  <c r="R362" i="4" s="1"/>
  <c r="AL12" i="4"/>
  <c r="AG368" i="4"/>
  <c r="R394" i="4"/>
  <c r="AI9" i="4"/>
  <c r="Q207" i="4"/>
  <c r="Q182" i="4" s="1"/>
  <c r="Z213" i="4"/>
  <c r="Q69" i="4"/>
  <c r="R69" i="4" s="1"/>
  <c r="Y101" i="4"/>
  <c r="Y9" i="4" s="1"/>
  <c r="Q165" i="4"/>
  <c r="R165" i="4" s="1"/>
  <c r="Z166" i="4"/>
  <c r="Z9" i="4" s="1"/>
  <c r="Q143" i="4"/>
  <c r="L10" i="4"/>
  <c r="L9" i="4" s="1"/>
  <c r="O361" i="4"/>
  <c r="AG9" i="4"/>
  <c r="Q361" i="4" l="1"/>
  <c r="AL9" i="4"/>
  <c r="AL13" i="4" s="1"/>
  <c r="Q11" i="4"/>
  <c r="Q10" i="4" s="1"/>
  <c r="Q9" i="4" s="1"/>
  <c r="O182" i="4"/>
  <c r="O10" i="4" s="1"/>
  <c r="O9" i="4" l="1"/>
</calcChain>
</file>

<file path=xl/sharedStrings.xml><?xml version="1.0" encoding="utf-8"?>
<sst xmlns="http://schemas.openxmlformats.org/spreadsheetml/2006/main" count="1903" uniqueCount="331">
  <si>
    <t>Ведомственная структура расходов муниципального  бюджета на 2014г</t>
  </si>
  <si>
    <t>с распределением бюджетных ассигнований  по разделам, подразделам, целевым статьям (муниципальных  программам и непрограммным направлениям деятельности), группам и подгруппам видов расходов классификации расходов бюджетов</t>
  </si>
  <si>
    <t>Наименование</t>
  </si>
  <si>
    <t>КВК</t>
  </si>
  <si>
    <t>Раздел, подраздел</t>
  </si>
  <si>
    <t>Целевая статья</t>
  </si>
  <si>
    <t>Вид расходов</t>
  </si>
  <si>
    <t>Измененные бюджетные аассигнования на 2014 год</t>
  </si>
  <si>
    <t>Измененные бюджетные аассигнования на 2015 год</t>
  </si>
  <si>
    <t xml:space="preserve"> Бюджетные аассигнования на 2016 год</t>
  </si>
  <si>
    <t>Всего расходы бюджета</t>
  </si>
  <si>
    <t>Администрация (исполнительно-распорядительный орган) городского поселения "Город Балабаново"</t>
  </si>
  <si>
    <t>Функционирование Правительства РФ, высших  исполнительных органов государственной  власти субъекта РФ, местных администраций</t>
  </si>
  <si>
    <t>003</t>
  </si>
  <si>
    <t>0104</t>
  </si>
  <si>
    <t>Обеспечение деятельности местной Администрации</t>
  </si>
  <si>
    <t>7400000</t>
  </si>
  <si>
    <t>Центральный аппарат</t>
  </si>
  <si>
    <t>7400040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</si>
  <si>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</si>
  <si>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</si>
  <si>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</si>
  <si>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</si>
  <si>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</si>
  <si>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</si>
  <si>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</si>
  <si>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</si>
  <si>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Глава  местной администрации</t>
  </si>
  <si>
    <t>7400048</t>
  </si>
  <si>
    <t>Муниципальная программа "Кадровая политика в г. Балабаново на 2014-2016годы."</t>
  </si>
  <si>
    <t>0113</t>
  </si>
  <si>
    <t>0800000</t>
  </si>
  <si>
    <t>Кадровый потенциал  учреждений и повышение заинтересованности работников органов местного самоупраления в повышении качества предоставляемых муниципальных услуг</t>
  </si>
  <si>
    <t>0800075</t>
  </si>
  <si>
    <t>Обеспечение проведения выборов и референдумов</t>
  </si>
  <si>
    <t>0107</t>
  </si>
  <si>
    <t>Муниципальная программа «Выборы» на 2014-2016 годы</t>
  </si>
  <si>
    <t>1600000</t>
  </si>
  <si>
    <t>Организация и финансовое обеспечение работы ТИК и УИК</t>
  </si>
  <si>
    <t>1601601</t>
  </si>
  <si>
    <t>Проведение конкурса на лучшее организационное и материально-техническое обеспечение избирательного участка</t>
  </si>
  <si>
    <t>1601602</t>
  </si>
  <si>
    <t>Мероприятия по организационно-информационно-техническому проведению выборов</t>
  </si>
  <si>
    <t>1601603</t>
  </si>
  <si>
    <t>Закупка товаров, работ и услуг для государственных (муниципальных) нужд</t>
  </si>
  <si>
    <t>Резервные фонды</t>
  </si>
  <si>
    <t>0111</t>
  </si>
  <si>
    <t xml:space="preserve">Муниципальная программа "Безопасность жизнедеятельности в г. Балабаново на 2014-2016 годы" </t>
  </si>
  <si>
    <t>0900000</t>
  </si>
  <si>
    <t>Резервный фонд местных администраций</t>
  </si>
  <si>
    <t>0900060</t>
  </si>
  <si>
    <t>Резервные средства</t>
  </si>
  <si>
    <t>Другие общегосударственные вопросы</t>
  </si>
  <si>
    <t>Мероприятия по созданию формирований правоохранительной направленности</t>
  </si>
  <si>
    <t>0900901</t>
  </si>
  <si>
    <t>Материально-техническое обеспечение в области безопасности жизнедеятельности г. Балабаново"</t>
  </si>
  <si>
    <t>0900902</t>
  </si>
  <si>
    <t>Субсидии юридическим лицам (кроме некоммерческих организаций), индивидуальным предпринимателям, физическим лицам</t>
  </si>
  <si>
    <t>Муниципальная программа "Формирование установок толерантного сознания в г. Балабаново на 2014-2016 годы."</t>
  </si>
  <si>
    <t>2000000</t>
  </si>
  <si>
    <t>Мероприятия направленные на формирование установок толерантного сознания.</t>
  </si>
  <si>
    <t>2002001</t>
  </si>
  <si>
    <t>Муниципальная программа "Комплексные меры противодействия злоупотреблению наркотикам и другим асоциальным явлениям в молодежной среде в ГП "Город Балабаново" на 2014-2016годы"</t>
  </si>
  <si>
    <t>2100000</t>
  </si>
  <si>
    <t>Мероприятия противодействия злоупотреблению наркотикам</t>
  </si>
  <si>
    <t>2102101</t>
  </si>
  <si>
    <t>Муниципальная программа «Профилактика терроризма и  противодействие экстремизму на территории городского поселения «Город Балабаново» на 2014-2016 годы»</t>
  </si>
  <si>
    <t>2200000</t>
  </si>
  <si>
    <t>Мероприятия по  профилактике терроризма и экстремизма.</t>
  </si>
  <si>
    <t>2202201</t>
  </si>
  <si>
    <t xml:space="preserve">Муниципальная программа "Управление муниципальным имуществом муниципального образования городского поселения "Город Балабаново на 2014-2016 годы" </t>
  </si>
  <si>
    <t>3800000</t>
  </si>
  <si>
    <t xml:space="preserve">Техническая инвентаризация объектов </t>
  </si>
  <si>
    <t>3803801</t>
  </si>
  <si>
    <t>200</t>
  </si>
  <si>
    <t>Мероприятия по эффективному использованию муниципального имущества</t>
  </si>
  <si>
    <t>3803803</t>
  </si>
  <si>
    <t>810</t>
  </si>
  <si>
    <t>Информационое, материально-техническое обеспечение работников органов местного самоуправления, повышение квалификации.</t>
  </si>
  <si>
    <t>0800801</t>
  </si>
  <si>
    <t xml:space="preserve">Непрограммные расходы </t>
  </si>
  <si>
    <t>7400092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</si>
  <si>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</si>
  <si>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</si>
  <si>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</si>
  <si>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</si>
  <si>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Непрограммные расходы федеральных и областных органов исполнительной власти</t>
  </si>
  <si>
    <t>8800000</t>
  </si>
  <si>
    <t>Осуществление первичного воинского учета на территориях, где отсутствуют военные комиссариаты</t>
  </si>
  <si>
    <t>8885118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</si>
  <si>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</si>
  <si>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</si>
  <si>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чрезвычайный ситуаций природного и техногенного характера, гражданская оборона</t>
  </si>
  <si>
    <t>0309</t>
  </si>
  <si>
    <t>Расходы на обеспечение деятельности муниципальных учреждений</t>
  </si>
  <si>
    <t>0900059</t>
  </si>
  <si>
    <t>Расходы на выплаты персоналу казенных учреждений</t>
  </si>
  <si>
    <t>110</t>
  </si>
  <si>
    <t>Материально-техническое обеспечение в области безопасности жизнедеятельности г. Балабаново</t>
  </si>
  <si>
    <t>Национальная экономика</t>
  </si>
  <si>
    <t>0400</t>
  </si>
  <si>
    <t>Дорожное хозяйство (Дорожные фонды)</t>
  </si>
  <si>
    <t>0409</t>
  </si>
  <si>
    <t>Ведомственная целевая программа "Развитие дорожного хозяйства и систем инженерной инфраструктуры МО "Город Балабаново" на 2014 год"</t>
  </si>
  <si>
    <t>1000000</t>
  </si>
  <si>
    <t>Проектные работы</t>
  </si>
  <si>
    <t>1001001</t>
  </si>
  <si>
    <t>Прочие работы</t>
  </si>
  <si>
    <t>1001003</t>
  </si>
  <si>
    <t>Муниципальная программа "Благоустройство городского поселения "Город Балабаново" на 2014-2016 годы."</t>
  </si>
  <si>
    <t>Ремонт и содержание дорог и тротуаров</t>
  </si>
  <si>
    <t>Другие вопросы в области национальной экономики</t>
  </si>
  <si>
    <t>0412</t>
  </si>
  <si>
    <t xml:space="preserve"> Муниципальная программа "Управление муниципальным имуществом муниципального образования городского поселения "Город Балабаново на 2014-2016 годы." </t>
  </si>
  <si>
    <t>Кадастровый учет.</t>
  </si>
  <si>
    <t>3803802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</si>
  <si>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</si>
  <si>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</si>
  <si>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</si>
  <si>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</si>
  <si>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"Капитальный ремонт многоквартирных жилых домов городского поселения "Город Балабаново на 2014-2016 годы"</t>
  </si>
  <si>
    <t>1800000</t>
  </si>
  <si>
    <t>Осуществление муниципальной  поддержки по проведению мероприятий по капитальному ремонту МЖД</t>
  </si>
  <si>
    <t>1801801</t>
  </si>
  <si>
    <t>Плата за капитальный ремонт доли муниципального образования в праве долевой собственности многоквартирных жилых домов за 2012-2013гг</t>
  </si>
  <si>
    <t>1801802</t>
  </si>
  <si>
    <t>1801803</t>
  </si>
  <si>
    <t xml:space="preserve">Муниципальная программа "Управление муниципальным имуществом муниципального образования городского поселения "Город Балабаново на 2014-2016 годы." </t>
  </si>
  <si>
    <t>Коммунальное хозяйство</t>
  </si>
  <si>
    <t>0502</t>
  </si>
  <si>
    <t>Строительство</t>
  </si>
  <si>
    <t>1001002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</si>
  <si>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</si>
  <si>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</si>
  <si>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</si>
  <si>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</si>
  <si>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 xml:space="preserve">Муниципальная программа «Энергосбережение  и повышения энергетической эффективности в системах коммунальной инфраструктуры на территории городского поселения «Город Балабаново" на 2014-2016 годы" </t>
  </si>
  <si>
    <t>Капитальный ремонт теплосетей и котельных</t>
  </si>
  <si>
    <t>Капитальный ремонт других объектов коммунального хозяйства</t>
  </si>
  <si>
    <t xml:space="preserve">Муниципальные гарантии
</t>
  </si>
  <si>
    <t>3803804</t>
  </si>
  <si>
    <t>Исполнение муниципальных гарантий без права регрессного требования гаранта к принципиалу или уступки гаранту прав требования бенефициара  к принципиалу</t>
  </si>
  <si>
    <t>840</t>
  </si>
  <si>
    <t>Благоустройство</t>
  </si>
  <si>
    <t>0503</t>
  </si>
  <si>
    <t xml:space="preserve">Муниципальная программа "Безопасность жизнедеятельности в г. Балабаново на 2014-2016годы." </t>
  </si>
  <si>
    <t>1900000</t>
  </si>
  <si>
    <t>Содержание зеленого хозяйства</t>
  </si>
  <si>
    <t>1901902</t>
  </si>
  <si>
    <t>Уличное освещение</t>
  </si>
  <si>
    <t>1901903</t>
  </si>
  <si>
    <t>Прочие объекты благоустройства</t>
  </si>
  <si>
    <t>1901904</t>
  </si>
  <si>
    <t>Образование</t>
  </si>
  <si>
    <t>0700</t>
  </si>
  <si>
    <t>Молодежная политика и оздоровление детей</t>
  </si>
  <si>
    <t>0707</t>
  </si>
  <si>
    <t>Муниципальная программа "Молодежная политика  города Балабаново на 2014-2016 годы."</t>
  </si>
  <si>
    <t>Организация и осуществление мероприятий по работе с молодежью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</si>
  <si>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</si>
  <si>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</si>
  <si>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</si>
  <si>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</si>
  <si>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"Кадровая политика в г. Балабаново на 2014-2016 годы."</t>
  </si>
  <si>
    <t>Социальные выплаты к пенсиям лицам, замещающим должности муниципальных служащих</t>
  </si>
  <si>
    <t>0800802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</si>
  <si>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</si>
  <si>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</si>
  <si>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Муниципальная программа "Старшее поколение на 2014-2016 годы."</t>
  </si>
  <si>
    <t>0300000</t>
  </si>
  <si>
    <t>Меры по обеспечению социальной защищенности, улучшению социального положения пожилых людей.</t>
  </si>
  <si>
    <t>0300301</t>
  </si>
  <si>
    <t>300</t>
  </si>
  <si>
    <t>320</t>
  </si>
  <si>
    <t>Иные выплаты населению</t>
  </si>
  <si>
    <t>360</t>
  </si>
  <si>
    <t>Оказание содействия в проведении праздничных, культурно-досуговых мероприятий с пожилыми людьми</t>
  </si>
  <si>
    <t>0300302</t>
  </si>
  <si>
    <t>Муниципальная программа "Дети в семье города Балабаново на 2014-2016 годы"</t>
  </si>
  <si>
    <t>4500000</t>
  </si>
  <si>
    <t>Организация и осуществление мероприятий по работе с детьми.</t>
  </si>
  <si>
    <t>4504501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</si>
  <si>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</si>
  <si>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</si>
  <si>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</si>
  <si>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</si>
  <si>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0900903</t>
  </si>
  <si>
    <t>Обслуживание государственного (муниципального) долга</t>
  </si>
  <si>
    <t>Обслуживание муниципального долга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</si>
  <si>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образований.</t>
  </si>
  <si>
    <t>0103</t>
  </si>
  <si>
    <t>Обеспечение деятельности законодательных органов муниципальных бразований</t>
  </si>
  <si>
    <t>8100000</t>
  </si>
  <si>
    <t>8100040</t>
  </si>
  <si>
    <t>Уплата налогов, сборов и иных платежей</t>
  </si>
  <si>
    <t>850</t>
  </si>
  <si>
    <t>Председатель представительного органа муниципального образования</t>
  </si>
  <si>
    <t>8100041</t>
  </si>
  <si>
    <t>Депутаты представительного органа муниципального образования</t>
  </si>
  <si>
    <t>8100042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</si>
  <si>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</si>
  <si>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</si>
  <si>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деятельности органов финансового надзора</t>
  </si>
  <si>
    <t>Руководитель контрольно-счетной палаты муниципального образования и его заместители</t>
  </si>
  <si>
    <t>Культура и кинематография.</t>
  </si>
  <si>
    <t>0800</t>
  </si>
  <si>
    <t>Культура</t>
  </si>
  <si>
    <t>0801</t>
  </si>
  <si>
    <t>Муниципальная программа "Развитие библиотечного обслуживания населения на 2014-2016 годы"</t>
  </si>
  <si>
    <t>6700000</t>
  </si>
  <si>
    <t>6700059</t>
  </si>
  <si>
    <t>Мероприятия по развитию  библиотечного обслуживания</t>
  </si>
  <si>
    <t>6706701</t>
  </si>
  <si>
    <t>Укрепление и развитие материально-технической базы городской библиотеки</t>
  </si>
  <si>
    <t>6706702</t>
  </si>
  <si>
    <t>Мероприятия по поддержке и развитию городской библиотеки (платные услуги)</t>
  </si>
  <si>
    <t>6706704</t>
  </si>
  <si>
    <t>Муниципальная программа "Культурная политика  в городе Балабаново на 2014-2016 годы."</t>
  </si>
  <si>
    <t>1100000</t>
  </si>
  <si>
    <t>1100059</t>
  </si>
  <si>
    <t>Проведение общегородских праздников и мероприятий учреждения</t>
  </si>
  <si>
    <t>1101101</t>
  </si>
  <si>
    <t>Укрепление и развитие материально-технической базы учреждений культуры</t>
  </si>
  <si>
    <t>1101102</t>
  </si>
  <si>
    <t>Мероприятия по поддержке и развитию учреждений культуры (платные услуги)</t>
  </si>
  <si>
    <t>1101104</t>
  </si>
  <si>
    <t>Физическая культура и спорт</t>
  </si>
  <si>
    <t>1100</t>
  </si>
  <si>
    <t>Физическая культура.</t>
  </si>
  <si>
    <t>1101</t>
  </si>
  <si>
    <t>Муниципальная программа "Развитие физической культуры и спорта в городе Балабаново на 2014-2016 годы."</t>
  </si>
  <si>
    <t>1300000</t>
  </si>
  <si>
    <t>1300059</t>
  </si>
  <si>
    <t>Мероприятия в области физической культуры и спорта</t>
  </si>
  <si>
    <t>1301301</t>
  </si>
  <si>
    <t>Укрепление и развитие материально-технической базы для занятия населения города физической культурой и спортом</t>
  </si>
  <si>
    <t>1301302</t>
  </si>
  <si>
    <t>Мероприятия в области физической культуры и спорта (платнын услуги)</t>
  </si>
  <si>
    <t>1301304</t>
  </si>
  <si>
    <t>Средства массовой информации.</t>
  </si>
  <si>
    <t>1200</t>
  </si>
  <si>
    <t>Периодическая  печать и издательства</t>
  </si>
  <si>
    <t>1202</t>
  </si>
  <si>
    <t>Муниципальная программа "Информационная политика. Развитие СМИ в городе Балабаново на 2014год."</t>
  </si>
  <si>
    <t>Реализация мероприятий по исполнению муниципального задания на оказание муниципальных услуг</t>
  </si>
  <si>
    <t>2302301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</si>
  <si>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</si>
  <si>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</si>
  <si>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</si>
  <si>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Реализация прочих мероприятий программы</t>
  </si>
  <si>
    <t>2302302</t>
  </si>
  <si>
    <t>Поправка</t>
  </si>
  <si>
    <t>Измененные бюджетные аассигнования на 2014 год с учетом поправки</t>
  </si>
  <si>
    <t>Общегосударственные вопросы</t>
  </si>
  <si>
    <t>0100</t>
  </si>
  <si>
    <t>Адресная социальная поддержка отдельных категорий граждан</t>
  </si>
  <si>
    <t>4504502</t>
  </si>
  <si>
    <t>1300</t>
  </si>
  <si>
    <t>Ремонт и содержание дорог и тротуаров за счет  средств дорожного фонда</t>
  </si>
  <si>
    <t>830</t>
  </si>
  <si>
    <t>Стимулирование руководителей исполнительно-распорядительных органов муниципальных образований области</t>
  </si>
  <si>
    <t>8880053</t>
  </si>
  <si>
    <t>Субсидии на реализацию мероприятий долгосрочной целевой программы "Энергосбережение и повышение энергоэффективности в Калужской области на 2012-2020гг"</t>
  </si>
  <si>
    <t>Субвенции на предоставление денежных выплат , пособий и компенсаций отдельным категориям граждан области в соотвествии с федеральным и областным законодательством 2014 год и на плановый период 2015 и 2016 годов</t>
  </si>
  <si>
    <t>8880301</t>
  </si>
  <si>
    <t>Благоустройство населенных пунктов на территории Боровского района</t>
  </si>
  <si>
    <t>7281901</t>
  </si>
  <si>
    <t>Межбюджетные трансферты</t>
  </si>
  <si>
    <t>500</t>
  </si>
  <si>
    <t>540</t>
  </si>
  <si>
    <t>Иные межбюджетные трансферты</t>
  </si>
  <si>
    <t>Исполнение судебных актов</t>
  </si>
  <si>
    <t>Публичные нормативные социальные выплаты гражданам</t>
  </si>
  <si>
    <t>Приведение БК</t>
  </si>
  <si>
    <t>Целевые средства</t>
  </si>
  <si>
    <t>МК ремонт сетей канализации</t>
  </si>
  <si>
    <t xml:space="preserve">МК ремонт сетей канализации и водоснабжения </t>
  </si>
  <si>
    <t>На программу ремонт МЖД</t>
  </si>
  <si>
    <t>Экономия от торгов на программу ремонт МЖД</t>
  </si>
  <si>
    <t>Взносы за капитальный ремонт доли муниципального образования в праве долевой собственности многоквартирных жилых домов в фонд капитального ремонта на счете "Регионального оператора"</t>
  </si>
  <si>
    <t>Обследование очистных Балабаново-1</t>
  </si>
  <si>
    <t>Приведение БК и ув 50т.р "Лидер"</t>
  </si>
  <si>
    <t>Снято по акту КСО</t>
  </si>
  <si>
    <t>Экономия от торгов на выплату к пенсии</t>
  </si>
  <si>
    <t>Общество Инвалидов</t>
  </si>
  <si>
    <t>Примечание</t>
  </si>
  <si>
    <t>Резервные фонды местных администраций</t>
  </si>
  <si>
    <t>000</t>
  </si>
  <si>
    <t>Расходы на выплаты персоналу государственных (муниципальных) учреждений</t>
  </si>
  <si>
    <t>3008911</t>
  </si>
  <si>
    <t xml:space="preserve">Измененные бюджетные аассигнования на 2014 год </t>
  </si>
  <si>
    <t>Приложение №1</t>
  </si>
  <si>
    <t>Субсидия на реализацию мероприятий государственной программы Калужской области "Энергосбережение и повышение энергоэффективности в Калужской обл."</t>
  </si>
  <si>
    <t>3103101</t>
  </si>
  <si>
    <t>3100000</t>
  </si>
  <si>
    <t xml:space="preserve">Ведомственная программа "Комплексное развитие систем коммунальной инфраструктуры и схемы теплоснабжения" </t>
  </si>
  <si>
    <t>Мероприятия по строительству, модернизации и ремонту отопительных котельных</t>
  </si>
  <si>
    <t>Выборы</t>
  </si>
  <si>
    <t>Безопасность ЖД</t>
  </si>
  <si>
    <t>Толерантность</t>
  </si>
  <si>
    <t>Наркотики</t>
  </si>
  <si>
    <t>Терроризм</t>
  </si>
  <si>
    <t>Имущество</t>
  </si>
  <si>
    <t>Кадры</t>
  </si>
  <si>
    <t>Дорожн. хоз-во</t>
  </si>
  <si>
    <t>Кап.ремонт</t>
  </si>
  <si>
    <t>Энергосбереж.</t>
  </si>
  <si>
    <t>Молодежн. пол-ка</t>
  </si>
  <si>
    <t>Библ. обслуж.</t>
  </si>
  <si>
    <t>Старш. поколение</t>
  </si>
  <si>
    <t>Дети в семье</t>
  </si>
  <si>
    <t>Физкультура</t>
  </si>
  <si>
    <t>СМИ</t>
  </si>
  <si>
    <t>Схемы теплоснобж.</t>
  </si>
  <si>
    <t>Субсидии бюджетам субъектов РФ и МО на реализацию Программы Энергосбережение и повышение энергетической эффективности на период до 2020 года</t>
  </si>
  <si>
    <t>0000000</t>
  </si>
  <si>
    <t>3105013</t>
  </si>
  <si>
    <t>Мероприятия по организации теплоснабжения на территории Боровского района</t>
  </si>
  <si>
    <t xml:space="preserve">Утвержденные бюджетные аассигнования на 2014 год </t>
  </si>
  <si>
    <t>руб.</t>
  </si>
  <si>
    <t>Незапланированные расходы: Штрафы, пени по дорожной разметке, дор. знакам, электроэнергия за муницип. имущество</t>
  </si>
  <si>
    <t>Специальные расходы</t>
  </si>
  <si>
    <t>7283002</t>
  </si>
  <si>
    <t xml:space="preserve">Межбюджетные трансферты на развитие материально -технической базы </t>
  </si>
  <si>
    <t>1100056</t>
  </si>
  <si>
    <t>Выплаты пособий и компенсаций отдельным категориям граждан</t>
  </si>
  <si>
    <t>0300305</t>
  </si>
  <si>
    <t xml:space="preserve">Муниципальная программа "Комплексное развитие систем коммунальной инфраструктуры и схем теплоснабжения" </t>
  </si>
  <si>
    <t>3103100</t>
  </si>
  <si>
    <t>Осуществление дорожной деятельности за счет средств Дорожного фонда Калужской области</t>
  </si>
  <si>
    <t>к решению от  18 декабря  2014 г.   № 75 -д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</si>
</sst>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\О\б\щ\и\й"/>
  </numFmts>
  <fonts count="38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sz val="8"/>
      <color theme="1"/>
      <name val="Calibri"/>
      <family val="2"/>
      <scheme val="minor"/>
    </font>
    <font>
      <sz val="11"/>
      <name val="Times New Roman"/>
      <family val="1"/>
    </font>
    <font>
      <sz val="8"/>
      <name val="Times New Roman"/>
      <family val="1"/>
    </font>
    <font>
      <sz val="8"/>
      <name val="Times New Roman"/>
      <family val="1"/>
      <charset val="204"/>
    </font>
    <font>
      <b/>
      <sz val="9"/>
      <name val="Times New Roman"/>
      <family val="1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</font>
    <font>
      <sz val="8"/>
      <color theme="0"/>
      <name val="Times New Roman"/>
      <family val="1"/>
    </font>
    <font>
      <b/>
      <sz val="11"/>
      <name val="Times New Roman"/>
      <family val="1"/>
      <charset val="204"/>
    </font>
    <font>
      <sz val="9"/>
      <color indexed="8"/>
      <name val="Times New Roman"/>
      <family val="1"/>
    </font>
    <font>
      <sz val="9"/>
      <name val="Times New Roman"/>
      <family val="1"/>
    </font>
    <font>
      <sz val="9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164" fontId="0" fillId="0" borderId="0" xfId="0" applyNumberFormat="1" applyFont="1" applyFill="1" applyBorder="1"/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164" fontId="0" fillId="0" borderId="0" xfId="0" applyNumberFormat="1" applyFill="1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1" fontId="0" fillId="0" borderId="0" xfId="0" applyNumberFormat="1" applyFill="1"/>
    <xf numFmtId="165" fontId="3" fillId="0" borderId="0" xfId="0" applyNumberFormat="1" applyFont="1" applyFill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1" fontId="4" fillId="0" borderId="0" xfId="0" applyNumberFormat="1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1" fontId="3" fillId="0" borderId="0" xfId="0" applyNumberFormat="1" applyFont="1" applyFill="1"/>
    <xf numFmtId="0" fontId="5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0" fontId="4" fillId="0" borderId="1" xfId="0" applyFont="1" applyFill="1" applyBorder="1"/>
    <xf numFmtId="0" fontId="1" fillId="0" borderId="1" xfId="0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49" fontId="7" fillId="0" borderId="1" xfId="0" quotePrefix="1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1" fontId="10" fillId="0" borderId="1" xfId="0" applyNumberFormat="1" applyFont="1" applyFill="1" applyBorder="1" applyAlignment="1">
      <alignment horizontal="center"/>
    </xf>
    <xf numFmtId="1" fontId="11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wrapText="1"/>
    </xf>
    <xf numFmtId="49" fontId="9" fillId="0" borderId="1" xfId="0" quotePrefix="1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wrapText="1"/>
    </xf>
    <xf numFmtId="49" fontId="12" fillId="0" borderId="1" xfId="0" quotePrefix="1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right"/>
    </xf>
    <xf numFmtId="0" fontId="13" fillId="0" borderId="1" xfId="0" applyFont="1" applyFill="1" applyBorder="1"/>
    <xf numFmtId="0" fontId="14" fillId="0" borderId="4" xfId="0" applyFont="1" applyFill="1" applyBorder="1" applyAlignment="1">
      <alignment horizontal="left" wrapText="1"/>
    </xf>
    <xf numFmtId="0" fontId="14" fillId="0" borderId="5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vertical="center" wrapText="1"/>
    </xf>
    <xf numFmtId="49" fontId="17" fillId="0" borderId="7" xfId="0" applyNumberFormat="1" applyFont="1" applyFill="1" applyBorder="1" applyAlignment="1">
      <alignment horizontal="center"/>
    </xf>
    <xf numFmtId="0" fontId="18" fillId="0" borderId="8" xfId="0" applyFont="1" applyFill="1" applyBorder="1" applyAlignment="1">
      <alignment wrapText="1"/>
    </xf>
    <xf numFmtId="0" fontId="14" fillId="0" borderId="9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vertical="center" wrapText="1"/>
    </xf>
    <xf numFmtId="0" fontId="13" fillId="0" borderId="8" xfId="0" applyFont="1" applyFill="1" applyBorder="1" applyAlignment="1">
      <alignment wrapText="1"/>
    </xf>
    <xf numFmtId="0" fontId="7" fillId="0" borderId="1" xfId="0" applyFont="1" applyFill="1" applyBorder="1"/>
    <xf numFmtId="0" fontId="20" fillId="0" borderId="1" xfId="0" applyFont="1" applyFill="1" applyBorder="1" applyAlignment="1">
      <alignment wrapText="1"/>
    </xf>
    <xf numFmtId="49" fontId="15" fillId="0" borderId="1" xfId="0" applyNumberFormat="1" applyFont="1" applyFill="1" applyBorder="1" applyAlignment="1">
      <alignment horizontal="center"/>
    </xf>
    <xf numFmtId="1" fontId="21" fillId="0" borderId="1" xfId="0" applyNumberFormat="1" applyFont="1" applyFill="1" applyBorder="1" applyAlignment="1">
      <alignment horizontal="right"/>
    </xf>
    <xf numFmtId="0" fontId="1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14" fillId="0" borderId="9" xfId="0" applyFont="1" applyFill="1" applyBorder="1" applyAlignment="1">
      <alignment wrapText="1"/>
    </xf>
    <xf numFmtId="0" fontId="22" fillId="0" borderId="0" xfId="0" applyFont="1" applyFill="1" applyAlignment="1">
      <alignment wrapText="1"/>
    </xf>
    <xf numFmtId="0" fontId="18" fillId="0" borderId="5" xfId="0" applyFont="1" applyFill="1" applyBorder="1" applyAlignment="1">
      <alignment wrapText="1"/>
    </xf>
    <xf numFmtId="0" fontId="18" fillId="0" borderId="1" xfId="0" applyFont="1" applyFill="1" applyBorder="1" applyAlignment="1">
      <alignment wrapText="1"/>
    </xf>
    <xf numFmtId="0" fontId="22" fillId="0" borderId="3" xfId="0" applyFont="1" applyFill="1" applyBorder="1" applyAlignment="1">
      <alignment wrapText="1"/>
    </xf>
    <xf numFmtId="0" fontId="22" fillId="0" borderId="0" xfId="0" applyFont="1" applyFill="1" applyAlignment="1">
      <alignment horizontal="justify" vertical="center" wrapText="1"/>
    </xf>
    <xf numFmtId="0" fontId="23" fillId="0" borderId="1" xfId="0" applyFont="1" applyFill="1" applyBorder="1" applyAlignment="1">
      <alignment horizontal="left" wrapText="1"/>
    </xf>
    <xf numFmtId="0" fontId="24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vertical="center" wrapText="1"/>
    </xf>
    <xf numFmtId="0" fontId="18" fillId="0" borderId="8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wrapText="1"/>
    </xf>
    <xf numFmtId="0" fontId="13" fillId="0" borderId="1" xfId="0" applyFont="1" applyFill="1" applyBorder="1" applyAlignment="1"/>
    <xf numFmtId="49" fontId="13" fillId="0" borderId="1" xfId="0" applyNumberFormat="1" applyFont="1" applyFill="1" applyBorder="1" applyAlignment="1">
      <alignment horizontal="center"/>
    </xf>
    <xf numFmtId="0" fontId="22" fillId="0" borderId="3" xfId="0" applyFont="1" applyFill="1" applyBorder="1"/>
    <xf numFmtId="0" fontId="14" fillId="0" borderId="4" xfId="0" applyFont="1" applyFill="1" applyBorder="1" applyAlignment="1">
      <alignment wrapText="1"/>
    </xf>
    <xf numFmtId="0" fontId="22" fillId="0" borderId="5" xfId="0" applyFont="1" applyFill="1" applyBorder="1" applyAlignment="1">
      <alignment wrapText="1"/>
    </xf>
    <xf numFmtId="0" fontId="14" fillId="0" borderId="8" xfId="0" applyFont="1" applyFill="1" applyBorder="1" applyAlignment="1">
      <alignment horizontal="left" wrapText="1"/>
    </xf>
    <xf numFmtId="49" fontId="18" fillId="0" borderId="1" xfId="0" applyNumberFormat="1" applyFont="1" applyFill="1" applyBorder="1" applyAlignment="1">
      <alignment horizontal="center"/>
    </xf>
    <xf numFmtId="49" fontId="25" fillId="0" borderId="1" xfId="0" applyNumberFormat="1" applyFont="1" applyFill="1" applyBorder="1" applyAlignment="1">
      <alignment horizontal="center"/>
    </xf>
    <xf numFmtId="166" fontId="18" fillId="0" borderId="1" xfId="0" applyNumberFormat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/>
    <xf numFmtId="0" fontId="15" fillId="0" borderId="8" xfId="0" applyFont="1" applyFill="1" applyBorder="1" applyAlignment="1">
      <alignment horizontal="left" vertical="top" wrapText="1"/>
    </xf>
    <xf numFmtId="0" fontId="23" fillId="0" borderId="4" xfId="0" applyFont="1" applyFill="1" applyBorder="1" applyAlignment="1">
      <alignment wrapText="1"/>
    </xf>
    <xf numFmtId="49" fontId="25" fillId="0" borderId="1" xfId="0" quotePrefix="1" applyNumberFormat="1" applyFont="1" applyFill="1" applyBorder="1" applyAlignment="1">
      <alignment horizontal="center"/>
    </xf>
    <xf numFmtId="0" fontId="23" fillId="0" borderId="10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7" fillId="0" borderId="1" xfId="0" applyFont="1" applyFill="1" applyBorder="1"/>
    <xf numFmtId="49" fontId="15" fillId="0" borderId="1" xfId="0" quotePrefix="1" applyNumberFormat="1" applyFont="1" applyFill="1" applyBorder="1" applyAlignment="1">
      <alignment horizontal="center"/>
    </xf>
    <xf numFmtId="0" fontId="14" fillId="0" borderId="10" xfId="0" applyFont="1" applyFill="1" applyBorder="1" applyAlignment="1">
      <alignment horizontal="center" wrapText="1"/>
    </xf>
    <xf numFmtId="0" fontId="14" fillId="0" borderId="11" xfId="0" applyFont="1" applyFill="1" applyBorder="1" applyAlignment="1">
      <alignment horizontal="left" wrapText="1"/>
    </xf>
    <xf numFmtId="0" fontId="14" fillId="0" borderId="12" xfId="0" applyFont="1" applyFill="1" applyBorder="1" applyAlignment="1">
      <alignment horizontal="center" wrapText="1"/>
    </xf>
    <xf numFmtId="49" fontId="15" fillId="0" borderId="8" xfId="0" applyNumberFormat="1" applyFont="1" applyFill="1" applyBorder="1" applyAlignment="1">
      <alignment horizontal="left" wrapText="1"/>
    </xf>
    <xf numFmtId="0" fontId="28" fillId="0" borderId="0" xfId="0" applyFont="1" applyFill="1"/>
    <xf numFmtId="0" fontId="9" fillId="0" borderId="1" xfId="0" applyFont="1" applyFill="1" applyBorder="1" applyAlignment="1"/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center"/>
    </xf>
    <xf numFmtId="1" fontId="29" fillId="0" borderId="1" xfId="0" applyNumberFormat="1" applyFont="1" applyFill="1" applyBorder="1" applyAlignment="1">
      <alignment horizontal="right"/>
    </xf>
    <xf numFmtId="0" fontId="0" fillId="0" borderId="0" xfId="0" applyFont="1" applyFill="1"/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/>
    <xf numFmtId="0" fontId="17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/>
    <xf numFmtId="166" fontId="18" fillId="0" borderId="8" xfId="0" applyNumberFormat="1" applyFont="1" applyFill="1" applyBorder="1" applyAlignment="1">
      <alignment horizontal="left" vertical="top" wrapText="1"/>
    </xf>
    <xf numFmtId="1" fontId="5" fillId="0" borderId="1" xfId="0" applyNumberFormat="1" applyFont="1" applyFill="1" applyBorder="1" applyAlignment="1">
      <alignment horizontal="center"/>
    </xf>
    <xf numFmtId="0" fontId="30" fillId="0" borderId="1" xfId="0" applyFont="1" applyFill="1" applyBorder="1"/>
    <xf numFmtId="49" fontId="30" fillId="0" borderId="1" xfId="0" quotePrefix="1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/>
    </xf>
    <xf numFmtId="0" fontId="31" fillId="0" borderId="1" xfId="0" applyFont="1" applyFill="1" applyBorder="1"/>
    <xf numFmtId="0" fontId="31" fillId="0" borderId="1" xfId="0" applyFont="1" applyFill="1" applyBorder="1" applyAlignment="1">
      <alignment horizontal="center"/>
    </xf>
    <xf numFmtId="1" fontId="0" fillId="0" borderId="0" xfId="0" applyNumberFormat="1" applyFont="1" applyFill="1" applyBorder="1"/>
    <xf numFmtId="0" fontId="4" fillId="0" borderId="0" xfId="0" applyFont="1" applyFill="1" applyAlignment="1">
      <alignment horizontal="center" wrapText="1"/>
    </xf>
    <xf numFmtId="1" fontId="0" fillId="0" borderId="0" xfId="0" applyNumberFormat="1" applyFont="1" applyFill="1"/>
    <xf numFmtId="0" fontId="6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left" wrapText="1"/>
    </xf>
    <xf numFmtId="1" fontId="6" fillId="0" borderId="1" xfId="0" applyNumberFormat="1" applyFont="1" applyFill="1" applyBorder="1" applyAlignment="1">
      <alignment horizontal="right"/>
    </xf>
    <xf numFmtId="1" fontId="5" fillId="0" borderId="1" xfId="0" applyNumberFormat="1" applyFont="1" applyFill="1" applyBorder="1" applyAlignment="1">
      <alignment horizontal="right" wrapText="1"/>
    </xf>
    <xf numFmtId="1" fontId="6" fillId="0" borderId="1" xfId="0" applyNumberFormat="1" applyFont="1" applyFill="1" applyBorder="1" applyAlignment="1">
      <alignment horizontal="left" wrapText="1"/>
    </xf>
    <xf numFmtId="1" fontId="6" fillId="0" borderId="1" xfId="0" applyNumberFormat="1" applyFont="1" applyFill="1" applyBorder="1" applyAlignment="1">
      <alignment horizontal="right" wrapText="1"/>
    </xf>
    <xf numFmtId="1" fontId="5" fillId="0" borderId="1" xfId="0" applyNumberFormat="1" applyFont="1" applyFill="1" applyBorder="1" applyAlignment="1">
      <alignment horizontal="left"/>
    </xf>
    <xf numFmtId="1" fontId="5" fillId="0" borderId="1" xfId="0" applyNumberFormat="1" applyFont="1" applyFill="1" applyBorder="1" applyAlignment="1">
      <alignment horizontal="left" vertical="center" wrapText="1"/>
    </xf>
    <xf numFmtId="1" fontId="13" fillId="0" borderId="1" xfId="0" applyNumberFormat="1" applyFont="1" applyFill="1" applyBorder="1" applyAlignment="1">
      <alignment horizontal="right"/>
    </xf>
    <xf numFmtId="0" fontId="13" fillId="0" borderId="5" xfId="0" applyFont="1" applyFill="1" applyBorder="1" applyAlignment="1">
      <alignment wrapText="1"/>
    </xf>
    <xf numFmtId="1" fontId="28" fillId="0" borderId="0" xfId="0" applyNumberFormat="1" applyFont="1" applyFill="1"/>
    <xf numFmtId="0" fontId="1" fillId="0" borderId="0" xfId="0" applyFont="1" applyFill="1" applyAlignment="1">
      <alignment horizontal="center" wrapText="1"/>
    </xf>
    <xf numFmtId="0" fontId="19" fillId="0" borderId="8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wrapText="1"/>
    </xf>
    <xf numFmtId="0" fontId="20" fillId="0" borderId="8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9" fillId="0" borderId="8" xfId="0" applyFont="1" applyFill="1" applyBorder="1" applyAlignment="1">
      <alignment wrapText="1"/>
    </xf>
    <xf numFmtId="0" fontId="32" fillId="0" borderId="0" xfId="0" applyFont="1" applyFill="1" applyAlignment="1">
      <alignment wrapText="1"/>
    </xf>
    <xf numFmtId="49" fontId="26" fillId="0" borderId="8" xfId="0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wrapText="1"/>
    </xf>
    <xf numFmtId="0" fontId="20" fillId="0" borderId="1" xfId="0" applyFont="1" applyFill="1" applyBorder="1" applyAlignment="1">
      <alignment vertical="center" wrapText="1"/>
    </xf>
    <xf numFmtId="0" fontId="16" fillId="0" borderId="6" xfId="0" applyFont="1" applyFill="1" applyBorder="1" applyAlignment="1">
      <alignment wrapText="1"/>
    </xf>
    <xf numFmtId="0" fontId="26" fillId="0" borderId="8" xfId="0" applyFont="1" applyFill="1" applyBorder="1" applyAlignment="1">
      <alignment horizontal="left" vertical="top" wrapText="1"/>
    </xf>
    <xf numFmtId="0" fontId="16" fillId="0" borderId="6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wrapText="1"/>
    </xf>
    <xf numFmtId="0" fontId="14" fillId="0" borderId="13" xfId="0" applyFont="1" applyFill="1" applyBorder="1" applyAlignment="1">
      <alignment horizontal="left" wrapText="1"/>
    </xf>
    <xf numFmtId="0" fontId="14" fillId="0" borderId="14" xfId="0" applyFont="1" applyFill="1" applyBorder="1" applyAlignment="1">
      <alignment horizontal="left" wrapText="1"/>
    </xf>
    <xf numFmtId="1" fontId="0" fillId="2" borderId="0" xfId="0" applyNumberFormat="1" applyFont="1" applyFill="1" applyBorder="1"/>
    <xf numFmtId="1" fontId="0" fillId="2" borderId="0" xfId="0" applyNumberFormat="1" applyFill="1" applyBorder="1"/>
    <xf numFmtId="1" fontId="0" fillId="2" borderId="0" xfId="0" applyNumberFormat="1" applyFill="1"/>
    <xf numFmtId="1" fontId="0" fillId="2" borderId="0" xfId="0" applyNumberFormat="1" applyFont="1" applyFill="1"/>
    <xf numFmtId="1" fontId="4" fillId="2" borderId="0" xfId="0" applyNumberFormat="1" applyFont="1" applyFill="1"/>
    <xf numFmtId="1" fontId="5" fillId="2" borderId="0" xfId="0" applyNumberFormat="1" applyFont="1" applyFill="1" applyBorder="1" applyAlignment="1">
      <alignment horizontal="center"/>
    </xf>
    <xf numFmtId="0" fontId="0" fillId="2" borderId="0" xfId="0" applyFill="1"/>
    <xf numFmtId="0" fontId="28" fillId="2" borderId="0" xfId="0" applyFont="1" applyFill="1"/>
    <xf numFmtId="1" fontId="28" fillId="2" borderId="0" xfId="0" applyNumberFormat="1" applyFont="1" applyFill="1"/>
    <xf numFmtId="1" fontId="33" fillId="2" borderId="0" xfId="0" applyNumberFormat="1" applyFont="1" applyFill="1"/>
    <xf numFmtId="2" fontId="34" fillId="2" borderId="0" xfId="0" applyNumberFormat="1" applyFont="1" applyFill="1"/>
    <xf numFmtId="1" fontId="5" fillId="3" borderId="0" xfId="0" applyNumberFormat="1" applyFont="1" applyFill="1" applyBorder="1" applyAlignment="1">
      <alignment horizontal="center"/>
    </xf>
    <xf numFmtId="1" fontId="3" fillId="3" borderId="0" xfId="0" applyNumberFormat="1" applyFont="1" applyFill="1"/>
    <xf numFmtId="0" fontId="3" fillId="3" borderId="0" xfId="0" applyFont="1" applyFill="1"/>
    <xf numFmtId="1" fontId="1" fillId="2" borderId="1" xfId="0" applyNumberFormat="1" applyFont="1" applyFill="1" applyBorder="1" applyAlignment="1">
      <alignment horizontal="right"/>
    </xf>
    <xf numFmtId="1" fontId="35" fillId="0" borderId="1" xfId="0" applyNumberFormat="1" applyFont="1" applyFill="1" applyBorder="1" applyAlignment="1">
      <alignment horizontal="right"/>
    </xf>
    <xf numFmtId="1" fontId="36" fillId="0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left" wrapText="1"/>
    </xf>
    <xf numFmtId="0" fontId="3" fillId="2" borderId="0" xfId="0" applyFont="1" applyFill="1" applyAlignment="1">
      <alignment wrapText="1"/>
    </xf>
    <xf numFmtId="0" fontId="33" fillId="2" borderId="0" xfId="0" applyFont="1" applyFill="1" applyAlignment="1">
      <alignment wrapText="1"/>
    </xf>
    <xf numFmtId="1" fontId="4" fillId="0" borderId="8" xfId="0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1" fontId="3" fillId="2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 wrapText="1"/>
    </xf>
    <xf numFmtId="2" fontId="4" fillId="0" borderId="1" xfId="0" applyNumberFormat="1" applyFont="1" applyFill="1" applyBorder="1" applyAlignment="1">
      <alignment horizontal="right"/>
    </xf>
    <xf numFmtId="0" fontId="17" fillId="0" borderId="1" xfId="0" applyFont="1" applyFill="1" applyBorder="1" applyAlignment="1">
      <alignment wrapText="1"/>
    </xf>
    <xf numFmtId="1" fontId="0" fillId="3" borderId="0" xfId="0" applyNumberFormat="1" applyFill="1"/>
    <xf numFmtId="0" fontId="28" fillId="2" borderId="0" xfId="0" applyFont="1" applyFill="1" applyBorder="1" applyAlignment="1">
      <alignment wrapText="1"/>
    </xf>
    <xf numFmtId="1" fontId="4" fillId="2" borderId="1" xfId="0" applyNumberFormat="1" applyFont="1" applyFill="1" applyBorder="1" applyAlignment="1">
      <alignment horizontal="right"/>
    </xf>
    <xf numFmtId="1" fontId="37" fillId="3" borderId="0" xfId="0" applyNumberFormat="1" applyFont="1" applyFill="1"/>
    <xf numFmtId="0" fontId="0" fillId="2" borderId="0" xfId="0" applyFill="1" applyBorder="1"/>
    <xf numFmtId="1" fontId="3" fillId="2" borderId="0" xfId="0" applyNumberFormat="1" applyFont="1" applyFill="1" applyBorder="1" applyAlignment="1">
      <alignment horizontal="left" wrapText="1"/>
    </xf>
    <xf numFmtId="0" fontId="3" fillId="2" borderId="0" xfId="0" applyFont="1" applyFill="1" applyBorder="1"/>
    <xf numFmtId="0" fontId="28" fillId="3" borderId="0" xfId="0" applyFont="1" applyFill="1"/>
    <xf numFmtId="2" fontId="1" fillId="0" borderId="1" xfId="0" applyNumberFormat="1" applyFont="1" applyFill="1" applyBorder="1" applyAlignment="1">
      <alignment horizontal="right"/>
    </xf>
    <xf numFmtId="2" fontId="3" fillId="0" borderId="0" xfId="0" applyNumberFormat="1" applyFont="1" applyFill="1"/>
    <xf numFmtId="1" fontId="4" fillId="0" borderId="0" xfId="0" applyNumberFormat="1" applyFont="1" applyFill="1" applyAlignment="1">
      <alignment horizontal="right"/>
    </xf>
    <xf numFmtId="1" fontId="21" fillId="2" borderId="1" xfId="0" applyNumberFormat="1" applyFont="1" applyFill="1" applyBorder="1" applyAlignment="1">
      <alignment horizontal="right"/>
    </xf>
    <xf numFmtId="2" fontId="0" fillId="0" borderId="0" xfId="0" applyNumberFormat="1" applyFill="1"/>
    <xf numFmtId="0" fontId="0" fillId="3" borderId="0" xfId="0" applyFill="1"/>
    <xf numFmtId="1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1" fontId="6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678"/>
  <sheetViews>
    <sheetView tabSelected="1" zoomScaleNormal="100" workbookViewId="0">
      <selection activeCell="Q438" sqref="A1:Q438"/>
    </sheetView>
  </sheetViews>
  <sheetFormatPr defaultColWidth="13.140625" defaultRowHeight="15" x14ac:dyDescent="0.25"/>
  <cols>
    <col min="1" max="1" width="39.28515625" style="7" customWidth="1"/>
    <col min="2" max="2" width="5.28515625" style="7" customWidth="1"/>
    <col min="3" max="3" width="6.85546875" style="7" customWidth="1"/>
    <col min="4" max="4" width="8.7109375" style="7" customWidth="1"/>
    <col min="5" max="5" width="4.7109375" style="8" customWidth="1"/>
    <col min="6" max="6" width="10.140625" style="7" hidden="1" customWidth="1"/>
    <col min="7" max="7" width="15.140625" style="7" hidden="1" customWidth="1"/>
    <col min="8" max="8" width="12.5703125" style="7" hidden="1" customWidth="1"/>
    <col min="9" max="9" width="10.85546875" style="7" hidden="1" customWidth="1"/>
    <col min="10" max="10" width="11" style="7" hidden="1" customWidth="1"/>
    <col min="11" max="11" width="10.85546875" style="7" hidden="1" customWidth="1"/>
    <col min="12" max="12" width="13.85546875" style="7" hidden="1" customWidth="1"/>
    <col min="13" max="13" width="13.28515625" style="7" hidden="1" customWidth="1"/>
    <col min="14" max="14" width="15.28515625" style="7" hidden="1" customWidth="1"/>
    <col min="15" max="15" width="13.85546875" style="7" customWidth="1"/>
    <col min="16" max="16" width="16.140625" style="7" customWidth="1"/>
    <col min="17" max="17" width="18.140625" style="7" customWidth="1"/>
    <col min="18" max="18" width="22.28515625" style="148" hidden="1" customWidth="1"/>
    <col min="19" max="19" width="12.140625" style="7" hidden="1" customWidth="1"/>
    <col min="20" max="20" width="12.7109375" style="7" hidden="1" customWidth="1"/>
    <col min="21" max="21" width="11" style="7" hidden="1" customWidth="1"/>
    <col min="22" max="22" width="10.42578125" style="7" hidden="1" customWidth="1"/>
    <col min="23" max="23" width="11.85546875" style="7" hidden="1" customWidth="1"/>
    <col min="24" max="25" width="11" style="7" hidden="1" customWidth="1"/>
    <col min="26" max="26" width="11.7109375" style="7" hidden="1" customWidth="1"/>
    <col min="27" max="27" width="11.85546875" style="7" hidden="1" customWidth="1"/>
    <col min="28" max="28" width="13.7109375" style="7" hidden="1" customWidth="1"/>
    <col min="29" max="29" width="11.28515625" style="7" hidden="1" customWidth="1"/>
    <col min="30" max="30" width="13.5703125" style="7" hidden="1" customWidth="1"/>
    <col min="31" max="36" width="13.140625" style="7" hidden="1" customWidth="1"/>
    <col min="37" max="38" width="0" style="7" hidden="1" customWidth="1"/>
    <col min="39" max="16384" width="13.140625" style="7"/>
  </cols>
  <sheetData>
    <row r="1" spans="1:38" s="2" customFormat="1" x14ac:dyDescent="0.25">
      <c r="A1" s="1"/>
      <c r="Q1" s="3" t="s">
        <v>291</v>
      </c>
      <c r="R1" s="142"/>
      <c r="V1" s="111"/>
    </row>
    <row r="2" spans="1:38" s="5" customFormat="1" ht="14.45" customHeight="1" x14ac:dyDescent="0.25">
      <c r="A2" s="4"/>
      <c r="E2" s="6"/>
      <c r="Q2" s="190" t="s">
        <v>330</v>
      </c>
      <c r="R2" s="143"/>
    </row>
    <row r="3" spans="1:38" ht="14.45" customHeight="1" x14ac:dyDescent="0.25">
      <c r="R3" s="144"/>
      <c r="T3" s="9"/>
      <c r="V3" s="9"/>
    </row>
    <row r="4" spans="1:38" ht="28.5" customHeight="1" x14ac:dyDescent="0.25">
      <c r="A4" s="187" t="s">
        <v>0</v>
      </c>
      <c r="B4" s="187"/>
      <c r="C4" s="187"/>
      <c r="D4" s="187"/>
      <c r="E4" s="187"/>
      <c r="F4" s="187"/>
      <c r="G4" s="187"/>
      <c r="H4" s="125"/>
      <c r="I4" s="125"/>
      <c r="J4" s="125"/>
      <c r="K4" s="125"/>
      <c r="L4" s="125"/>
      <c r="M4" s="125"/>
      <c r="N4" s="139"/>
      <c r="O4" s="139"/>
      <c r="P4" s="169"/>
      <c r="Q4" s="169"/>
      <c r="R4" s="144"/>
      <c r="T4" s="9"/>
    </row>
    <row r="5" spans="1:38" s="98" customFormat="1" ht="58.5" customHeight="1" x14ac:dyDescent="0.25">
      <c r="A5" s="188" t="s">
        <v>1</v>
      </c>
      <c r="B5" s="188"/>
      <c r="C5" s="188"/>
      <c r="D5" s="188"/>
      <c r="E5" s="188"/>
      <c r="F5" s="188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45"/>
      <c r="S5" s="112"/>
      <c r="T5" s="112"/>
      <c r="U5" s="113"/>
      <c r="V5" s="113"/>
      <c r="W5" s="113"/>
      <c r="X5" s="113"/>
      <c r="Y5" s="113"/>
      <c r="Z5" s="113"/>
      <c r="AA5" s="113"/>
      <c r="AB5" s="113"/>
      <c r="AC5" s="113"/>
      <c r="AD5" s="10"/>
      <c r="AE5" s="113"/>
      <c r="AF5" s="113"/>
      <c r="AG5" s="113"/>
    </row>
    <row r="6" spans="1:38" ht="28.15" customHeight="1" x14ac:dyDescent="0.25">
      <c r="A6" s="11"/>
      <c r="B6" s="11"/>
      <c r="C6" s="11"/>
      <c r="D6" s="11"/>
      <c r="E6" s="12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82" t="s">
        <v>319</v>
      </c>
      <c r="R6" s="146"/>
      <c r="S6" s="13"/>
      <c r="T6" s="9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</row>
    <row r="7" spans="1:38" s="19" customFormat="1" ht="56.25" x14ac:dyDescent="0.2">
      <c r="A7" s="14" t="s">
        <v>2</v>
      </c>
      <c r="B7" s="15" t="s">
        <v>3</v>
      </c>
      <c r="C7" s="16" t="s">
        <v>4</v>
      </c>
      <c r="D7" s="17" t="s">
        <v>5</v>
      </c>
      <c r="E7" s="16" t="s">
        <v>6</v>
      </c>
      <c r="F7" s="18" t="s">
        <v>7</v>
      </c>
      <c r="G7" s="18" t="s">
        <v>8</v>
      </c>
      <c r="H7" s="18" t="s">
        <v>9</v>
      </c>
      <c r="I7" s="18" t="s">
        <v>251</v>
      </c>
      <c r="J7" s="18" t="s">
        <v>290</v>
      </c>
      <c r="K7" s="18" t="s">
        <v>251</v>
      </c>
      <c r="L7" s="18" t="s">
        <v>318</v>
      </c>
      <c r="M7" s="114" t="s">
        <v>285</v>
      </c>
      <c r="N7" s="18" t="s">
        <v>251</v>
      </c>
      <c r="O7" s="18" t="s">
        <v>318</v>
      </c>
      <c r="P7" s="18" t="s">
        <v>251</v>
      </c>
      <c r="Q7" s="18" t="s">
        <v>252</v>
      </c>
      <c r="R7" s="168" t="s">
        <v>285</v>
      </c>
      <c r="Z7" s="20"/>
      <c r="AA7" s="20"/>
      <c r="AC7" s="20"/>
    </row>
    <row r="8" spans="1:38" s="19" customFormat="1" ht="11.25" x14ac:dyDescent="0.2">
      <c r="A8" s="21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6</v>
      </c>
      <c r="H8" s="21">
        <v>6</v>
      </c>
      <c r="I8" s="21">
        <v>7</v>
      </c>
      <c r="J8" s="21">
        <v>6</v>
      </c>
      <c r="K8" s="21">
        <v>7</v>
      </c>
      <c r="L8" s="21">
        <v>6</v>
      </c>
      <c r="M8" s="21">
        <v>9</v>
      </c>
      <c r="N8" s="21">
        <v>7</v>
      </c>
      <c r="O8" s="21">
        <v>6</v>
      </c>
      <c r="P8" s="21">
        <v>7</v>
      </c>
      <c r="Q8" s="21">
        <v>8</v>
      </c>
      <c r="R8" s="147"/>
      <c r="S8" s="153" t="s">
        <v>297</v>
      </c>
      <c r="T8" s="153" t="s">
        <v>298</v>
      </c>
      <c r="U8" s="153" t="s">
        <v>299</v>
      </c>
      <c r="V8" s="153" t="s">
        <v>300</v>
      </c>
      <c r="W8" s="153" t="s">
        <v>301</v>
      </c>
      <c r="X8" s="153" t="s">
        <v>302</v>
      </c>
      <c r="Y8" s="153" t="s">
        <v>303</v>
      </c>
      <c r="Z8" s="153" t="s">
        <v>304</v>
      </c>
      <c r="AA8" s="153" t="s">
        <v>143</v>
      </c>
      <c r="AB8" s="153" t="s">
        <v>305</v>
      </c>
      <c r="AC8" s="153" t="s">
        <v>306</v>
      </c>
      <c r="AD8" s="154" t="s">
        <v>307</v>
      </c>
      <c r="AE8" s="155" t="s">
        <v>308</v>
      </c>
      <c r="AF8" s="155" t="s">
        <v>206</v>
      </c>
      <c r="AG8" s="155" t="s">
        <v>309</v>
      </c>
      <c r="AH8" s="155" t="s">
        <v>310</v>
      </c>
      <c r="AI8" s="155" t="s">
        <v>311</v>
      </c>
      <c r="AJ8" s="155" t="s">
        <v>312</v>
      </c>
      <c r="AK8" s="155" t="s">
        <v>313</v>
      </c>
    </row>
    <row r="9" spans="1:38" s="19" customFormat="1" ht="36" x14ac:dyDescent="0.2">
      <c r="A9" s="27" t="s">
        <v>11</v>
      </c>
      <c r="B9" s="28" t="s">
        <v>13</v>
      </c>
      <c r="C9" s="105"/>
      <c r="D9" s="30" t="e">
        <f>+#REF!</f>
        <v>#REF!</v>
      </c>
      <c r="E9" s="21"/>
      <c r="F9" s="31">
        <f>+F10</f>
        <v>185195536.34999999</v>
      </c>
      <c r="G9" s="31" t="e">
        <f>+G10</f>
        <v>#REF!</v>
      </c>
      <c r="H9" s="31" t="e">
        <f>+H10</f>
        <v>#REF!</v>
      </c>
      <c r="I9" s="31">
        <f t="shared" ref="I9:Q9" si="0">+I10</f>
        <v>10298357.6</v>
      </c>
      <c r="J9" s="31">
        <f t="shared" si="0"/>
        <v>195493894.05000001</v>
      </c>
      <c r="K9" s="31">
        <f t="shared" si="0"/>
        <v>41585250</v>
      </c>
      <c r="L9" s="31">
        <f t="shared" si="0"/>
        <v>237079144.05000001</v>
      </c>
      <c r="M9" s="31"/>
      <c r="N9" s="31">
        <f t="shared" si="0"/>
        <v>14301860.85</v>
      </c>
      <c r="O9" s="31">
        <f t="shared" si="0"/>
        <v>251381004.44</v>
      </c>
      <c r="P9" s="31">
        <f t="shared" si="0"/>
        <v>-36513655.239999995</v>
      </c>
      <c r="Q9" s="31">
        <f t="shared" si="0"/>
        <v>214867348.69999999</v>
      </c>
      <c r="R9" s="151"/>
      <c r="S9" s="152">
        <f>SUM(S13:S438)</f>
        <v>1482722</v>
      </c>
      <c r="T9" s="152">
        <f t="shared" ref="T9:AK9" si="1">SUM(T13:T438)</f>
        <v>6712194.2699999996</v>
      </c>
      <c r="U9" s="152">
        <f t="shared" si="1"/>
        <v>13938.439999999999</v>
      </c>
      <c r="V9" s="152">
        <f t="shared" si="1"/>
        <v>92102.83</v>
      </c>
      <c r="W9" s="152">
        <f t="shared" si="1"/>
        <v>17945.07</v>
      </c>
      <c r="X9" s="152">
        <f t="shared" si="1"/>
        <v>34515945.789999999</v>
      </c>
      <c r="Y9" s="152">
        <f t="shared" si="1"/>
        <v>5416062.5600000005</v>
      </c>
      <c r="Z9" s="152">
        <f>SUM(Z13:Z438)</f>
        <v>20453096.27</v>
      </c>
      <c r="AA9" s="152">
        <f>SUM(AA13:AA438)</f>
        <v>36922348.380000003</v>
      </c>
      <c r="AB9" s="152">
        <f t="shared" si="1"/>
        <v>7504460.5800000001</v>
      </c>
      <c r="AC9" s="152">
        <f t="shared" si="1"/>
        <v>5783879.3200000003</v>
      </c>
      <c r="AD9" s="152">
        <f t="shared" si="1"/>
        <v>505430.04000000004</v>
      </c>
      <c r="AE9" s="152">
        <f t="shared" si="1"/>
        <v>4238332.13</v>
      </c>
      <c r="AF9" s="152">
        <f t="shared" si="1"/>
        <v>10071855.82</v>
      </c>
      <c r="AG9" s="152">
        <f t="shared" si="1"/>
        <v>2512467.64</v>
      </c>
      <c r="AH9" s="152">
        <f t="shared" si="1"/>
        <v>741929.69</v>
      </c>
      <c r="AI9" s="152">
        <f t="shared" si="1"/>
        <v>13191819.310000001</v>
      </c>
      <c r="AJ9" s="152">
        <f t="shared" si="1"/>
        <v>3166606</v>
      </c>
      <c r="AK9" s="152">
        <f t="shared" si="1"/>
        <v>11140840.960000001</v>
      </c>
      <c r="AL9" s="181">
        <f>S9+T9+U9+V9+W9+X9+Y9+Z9+AA9+AB9+AC9+AD9+AE9+AF9+AG9+AH9+AI9+AJ9+AK9</f>
        <v>164483977.10000002</v>
      </c>
    </row>
    <row r="10" spans="1:38" x14ac:dyDescent="0.25">
      <c r="A10" s="22" t="s">
        <v>10</v>
      </c>
      <c r="B10" s="23"/>
      <c r="C10" s="24"/>
      <c r="D10" s="24"/>
      <c r="E10" s="25"/>
      <c r="F10" s="26">
        <f t="shared" ref="F10:L10" si="2">+F11+F121+F143+F182+F294+F306+F361+F394+F424+F433+F129</f>
        <v>185195536.34999999</v>
      </c>
      <c r="G10" s="26" t="e">
        <f t="shared" si="2"/>
        <v>#REF!</v>
      </c>
      <c r="H10" s="26" t="e">
        <f t="shared" si="2"/>
        <v>#REF!</v>
      </c>
      <c r="I10" s="26">
        <f t="shared" si="2"/>
        <v>10298357.6</v>
      </c>
      <c r="J10" s="26">
        <f t="shared" si="2"/>
        <v>195493894.05000001</v>
      </c>
      <c r="K10" s="26">
        <f t="shared" si="2"/>
        <v>41585250</v>
      </c>
      <c r="L10" s="26">
        <f t="shared" si="2"/>
        <v>237079144.05000001</v>
      </c>
      <c r="M10" s="26"/>
      <c r="N10" s="26">
        <f>+N11+N121+N143+N182+N294+N306+N361+N394+N424+N433+N129</f>
        <v>14301860.85</v>
      </c>
      <c r="O10" s="26">
        <f>+O11+O121+O143+O182+O294+O306+O361+O394+O424+O433+O129</f>
        <v>251381004.44</v>
      </c>
      <c r="P10" s="26">
        <f>+P11+P121+P143+P182+P294+P306+P361+P394+P424+P433+P129</f>
        <v>-36513655.239999995</v>
      </c>
      <c r="Q10" s="26">
        <f>+Q11+Q121+Q143+Q182+Q294+Q306+Q361+Q394+Q424+Q433+Q129</f>
        <v>214867348.69999999</v>
      </c>
      <c r="R10" s="180"/>
    </row>
    <row r="11" spans="1:38" s="98" customFormat="1" x14ac:dyDescent="0.25">
      <c r="A11" s="106" t="s">
        <v>253</v>
      </c>
      <c r="B11" s="107" t="s">
        <v>13</v>
      </c>
      <c r="C11" s="108" t="s">
        <v>254</v>
      </c>
      <c r="D11" s="109"/>
      <c r="E11" s="110"/>
      <c r="F11" s="97">
        <f>+F12+F27+F39+F51+F69+F64</f>
        <v>40480357.950000003</v>
      </c>
      <c r="G11" s="97">
        <f>+G12+G27+G39+G51+G69+G64</f>
        <v>33861335</v>
      </c>
      <c r="H11" s="97">
        <f>+H12+H27+H39+H51+H69+H64</f>
        <v>34192653</v>
      </c>
      <c r="I11" s="97">
        <f t="shared" ref="I11:J11" si="3">+I12+I27+I39+I51+I69+I64</f>
        <v>17330</v>
      </c>
      <c r="J11" s="97">
        <f t="shared" si="3"/>
        <v>40497688.049999997</v>
      </c>
      <c r="K11" s="97">
        <f t="shared" ref="K11:L11" si="4">+K12+K27+K39+K51+K69+K64</f>
        <v>62264</v>
      </c>
      <c r="L11" s="97">
        <f t="shared" si="4"/>
        <v>40559952.049999997</v>
      </c>
      <c r="M11" s="97"/>
      <c r="N11" s="97">
        <f>+N12+N27+N39+N51+N69+N64</f>
        <v>242879.89</v>
      </c>
      <c r="O11" s="97">
        <f t="shared" ref="O11" si="5">+O12+O27+O39+O51+O69+O64</f>
        <v>40802831.939999998</v>
      </c>
      <c r="P11" s="97">
        <f>+P12+P27+P39+P51+P69+P64</f>
        <v>-1548391.7000000002</v>
      </c>
      <c r="Q11" s="97">
        <f t="shared" ref="Q11" si="6">+Q12+Q27+Q39+Q51+Q69+Q64</f>
        <v>39254440.239999995</v>
      </c>
      <c r="R11" s="97"/>
    </row>
    <row r="12" spans="1:38" ht="48" x14ac:dyDescent="0.25">
      <c r="A12" s="48" t="s">
        <v>189</v>
      </c>
      <c r="B12" s="28" t="s">
        <v>13</v>
      </c>
      <c r="C12" s="78" t="s">
        <v>190</v>
      </c>
      <c r="D12" s="50"/>
      <c r="E12" s="38"/>
      <c r="F12" s="26">
        <f>+F13</f>
        <v>3794227.85</v>
      </c>
      <c r="G12" s="26">
        <f>+G13</f>
        <v>3423534</v>
      </c>
      <c r="H12" s="26">
        <f>+H13</f>
        <v>3451750</v>
      </c>
      <c r="I12" s="26">
        <f t="shared" ref="I12:Q12" si="7">+I13</f>
        <v>0</v>
      </c>
      <c r="J12" s="26">
        <f t="shared" si="7"/>
        <v>3794227.85</v>
      </c>
      <c r="K12" s="26">
        <f t="shared" si="7"/>
        <v>0</v>
      </c>
      <c r="L12" s="26">
        <f t="shared" si="7"/>
        <v>3794227.85</v>
      </c>
      <c r="M12" s="26"/>
      <c r="N12" s="26">
        <f t="shared" si="7"/>
        <v>0</v>
      </c>
      <c r="O12" s="26">
        <f t="shared" si="7"/>
        <v>3794227.85</v>
      </c>
      <c r="P12" s="26">
        <f t="shared" si="7"/>
        <v>-14712.04</v>
      </c>
      <c r="Q12" s="26">
        <f t="shared" si="7"/>
        <v>3779515.81</v>
      </c>
      <c r="R12" s="172">
        <v>3780642</v>
      </c>
      <c r="AL12" s="184">
        <f>R13</f>
        <v>0</v>
      </c>
    </row>
    <row r="13" spans="1:38" ht="24.75" x14ac:dyDescent="0.25">
      <c r="A13" s="90" t="s">
        <v>191</v>
      </c>
      <c r="B13" s="37" t="s">
        <v>13</v>
      </c>
      <c r="C13" s="34" t="s">
        <v>190</v>
      </c>
      <c r="D13" s="34" t="s">
        <v>192</v>
      </c>
      <c r="E13" s="35"/>
      <c r="F13" s="39">
        <f>F14+F21+F24</f>
        <v>3794227.85</v>
      </c>
      <c r="G13" s="39">
        <f>G14+G21+G24</f>
        <v>3423534</v>
      </c>
      <c r="H13" s="39">
        <f>H14+H21+H24</f>
        <v>3451750</v>
      </c>
      <c r="I13" s="39">
        <f t="shared" ref="I13:J13" si="8">I14+I21+I24</f>
        <v>0</v>
      </c>
      <c r="J13" s="39">
        <f t="shared" si="8"/>
        <v>3794227.85</v>
      </c>
      <c r="K13" s="39">
        <f t="shared" ref="K13:L13" si="9">K14+K21+K24</f>
        <v>0</v>
      </c>
      <c r="L13" s="39">
        <f t="shared" si="9"/>
        <v>3794227.85</v>
      </c>
      <c r="M13" s="39"/>
      <c r="N13" s="39">
        <f t="shared" ref="N13:O13" si="10">N14+N21+N24</f>
        <v>0</v>
      </c>
      <c r="O13" s="39">
        <f t="shared" si="10"/>
        <v>3794227.85</v>
      </c>
      <c r="P13" s="39">
        <f>P14+P21+P24</f>
        <v>-14712.04</v>
      </c>
      <c r="Q13" s="39">
        <f t="shared" ref="Q13" si="11">Q14+Q21+Q24</f>
        <v>3779515.81</v>
      </c>
      <c r="R13" s="144"/>
      <c r="AL13" s="184">
        <f>AL9-AL12</f>
        <v>164483977.10000002</v>
      </c>
    </row>
    <row r="14" spans="1:38" x14ac:dyDescent="0.25">
      <c r="A14" s="40" t="s">
        <v>17</v>
      </c>
      <c r="B14" s="37" t="s">
        <v>13</v>
      </c>
      <c r="C14" s="34" t="s">
        <v>190</v>
      </c>
      <c r="D14" s="34" t="s">
        <v>193</v>
      </c>
      <c r="E14" s="34"/>
      <c r="F14" s="39">
        <f>F15+F17+F19</f>
        <v>1477705.85</v>
      </c>
      <c r="G14" s="39">
        <f>G15+G17+G19</f>
        <v>1239818</v>
      </c>
      <c r="H14" s="39">
        <f>H15+H17+H19</f>
        <v>1268034</v>
      </c>
      <c r="I14" s="39">
        <f t="shared" ref="I14:J14" si="12">I15+I17+I19</f>
        <v>20000</v>
      </c>
      <c r="J14" s="39">
        <f t="shared" si="12"/>
        <v>1497705.85</v>
      </c>
      <c r="K14" s="39">
        <f t="shared" ref="K14:L14" si="13">K15+K17+K19</f>
        <v>3540</v>
      </c>
      <c r="L14" s="39">
        <f t="shared" si="13"/>
        <v>1501245.85</v>
      </c>
      <c r="M14" s="39"/>
      <c r="N14" s="39">
        <f t="shared" ref="N14:O14" si="14">N15+N17+N19</f>
        <v>12000</v>
      </c>
      <c r="O14" s="39">
        <f t="shared" si="14"/>
        <v>1513245.85</v>
      </c>
      <c r="P14" s="39">
        <f t="shared" ref="P14:Q14" si="15">P15+P17+P19</f>
        <v>-67118.61</v>
      </c>
      <c r="Q14" s="39">
        <f t="shared" si="15"/>
        <v>1446127.24</v>
      </c>
    </row>
    <row r="15" spans="1:38" ht="60.75" x14ac:dyDescent="0.25">
      <c r="A15" s="41" t="s">
        <v>19</v>
      </c>
      <c r="B15" s="37" t="s">
        <v>13</v>
      </c>
      <c r="C15" s="34" t="s">
        <v>190</v>
      </c>
      <c r="D15" s="34" t="s">
        <v>193</v>
      </c>
      <c r="E15" s="34" t="s">
        <v>20</v>
      </c>
      <c r="F15" s="39">
        <f>F16</f>
        <v>1139099</v>
      </c>
      <c r="G15" s="39">
        <f>G16</f>
        <v>836721</v>
      </c>
      <c r="H15" s="39">
        <f>H16</f>
        <v>836721</v>
      </c>
      <c r="I15" s="39">
        <f t="shared" ref="I15:Q15" si="16">I16</f>
        <v>0</v>
      </c>
      <c r="J15" s="39">
        <f t="shared" si="16"/>
        <v>1139099</v>
      </c>
      <c r="K15" s="39">
        <f t="shared" si="16"/>
        <v>0</v>
      </c>
      <c r="L15" s="39">
        <f t="shared" si="16"/>
        <v>1139099</v>
      </c>
      <c r="M15" s="39"/>
      <c r="N15" s="39">
        <f t="shared" si="16"/>
        <v>0</v>
      </c>
      <c r="O15" s="39">
        <f t="shared" si="16"/>
        <v>1139099</v>
      </c>
      <c r="P15" s="39">
        <f t="shared" si="16"/>
        <v>-60300.450000000004</v>
      </c>
      <c r="Q15" s="39">
        <f t="shared" si="16"/>
        <v>1078798.55</v>
      </c>
      <c r="R15" s="144"/>
    </row>
    <row r="16" spans="1:38" ht="24.75" x14ac:dyDescent="0.25">
      <c r="A16" s="41" t="s">
        <v>21</v>
      </c>
      <c r="B16" s="37" t="s">
        <v>13</v>
      </c>
      <c r="C16" s="34" t="s">
        <v>190</v>
      </c>
      <c r="D16" s="34" t="s">
        <v>193</v>
      </c>
      <c r="E16" s="34" t="s">
        <v>22</v>
      </c>
      <c r="F16" s="39">
        <f>874884+264215</f>
        <v>1139099</v>
      </c>
      <c r="G16" s="39">
        <f>642643+194078</f>
        <v>836721</v>
      </c>
      <c r="H16" s="39">
        <f>642643+194078</f>
        <v>836721</v>
      </c>
      <c r="I16" s="39">
        <f>+J16-F16</f>
        <v>0</v>
      </c>
      <c r="J16" s="39">
        <v>1139099</v>
      </c>
      <c r="K16" s="39"/>
      <c r="L16" s="39">
        <v>1139099</v>
      </c>
      <c r="M16" s="39"/>
      <c r="N16" s="39"/>
      <c r="O16" s="39">
        <v>1139099</v>
      </c>
      <c r="P16" s="39">
        <f>-44908.57-8588.59-6803.29</f>
        <v>-60300.450000000004</v>
      </c>
      <c r="Q16" s="39">
        <f>O16+P16</f>
        <v>1078798.55</v>
      </c>
      <c r="R16" s="144"/>
    </row>
    <row r="17" spans="1:19" ht="24.75" x14ac:dyDescent="0.25">
      <c r="A17" s="41" t="s">
        <v>44</v>
      </c>
      <c r="B17" s="37" t="s">
        <v>13</v>
      </c>
      <c r="C17" s="34" t="s">
        <v>190</v>
      </c>
      <c r="D17" s="34" t="s">
        <v>193</v>
      </c>
      <c r="E17" s="34" t="s">
        <v>74</v>
      </c>
      <c r="F17" s="39">
        <f>F18</f>
        <v>337606.85</v>
      </c>
      <c r="G17" s="39">
        <f>G18</f>
        <v>402097</v>
      </c>
      <c r="H17" s="39">
        <f>H18</f>
        <v>430313</v>
      </c>
      <c r="I17" s="39">
        <f t="shared" ref="I17:Q17" si="17">I18</f>
        <v>20000</v>
      </c>
      <c r="J17" s="39">
        <f t="shared" si="17"/>
        <v>357606.85</v>
      </c>
      <c r="K17" s="39">
        <f t="shared" si="17"/>
        <v>3540</v>
      </c>
      <c r="L17" s="39">
        <f t="shared" si="17"/>
        <v>361146.85</v>
      </c>
      <c r="M17" s="39"/>
      <c r="N17" s="39">
        <f t="shared" si="17"/>
        <v>12000</v>
      </c>
      <c r="O17" s="39">
        <f t="shared" si="17"/>
        <v>373146.85</v>
      </c>
      <c r="P17" s="39">
        <f t="shared" si="17"/>
        <v>-6596.16</v>
      </c>
      <c r="Q17" s="39">
        <f t="shared" si="17"/>
        <v>366550.69</v>
      </c>
    </row>
    <row r="18" spans="1:19" ht="36.75" x14ac:dyDescent="0.25">
      <c r="A18" s="41" t="s">
        <v>23</v>
      </c>
      <c r="B18" s="37" t="s">
        <v>13</v>
      </c>
      <c r="C18" s="34" t="s">
        <v>190</v>
      </c>
      <c r="D18" s="34" t="s">
        <v>193</v>
      </c>
      <c r="E18" s="34" t="s">
        <v>24</v>
      </c>
      <c r="F18" s="39">
        <f>(66774+15000+147549+65000+80000)*0.95-18000</f>
        <v>337606.85</v>
      </c>
      <c r="G18" s="39">
        <f>71715+16110+1508468-1350000+70884-1000+85920</f>
        <v>402097</v>
      </c>
      <c r="H18" s="39">
        <f>76735+17238+1519560-1350000+75846+91934-1000</f>
        <v>430313</v>
      </c>
      <c r="I18" s="39">
        <v>20000</v>
      </c>
      <c r="J18" s="39">
        <f>+F18+I18</f>
        <v>357606.85</v>
      </c>
      <c r="K18" s="39">
        <v>3540</v>
      </c>
      <c r="L18" s="39">
        <f>+J18+K18</f>
        <v>361146.85</v>
      </c>
      <c r="M18" s="39"/>
      <c r="N18" s="39">
        <v>12000</v>
      </c>
      <c r="O18" s="39">
        <f>L18+N18</f>
        <v>373146.85</v>
      </c>
      <c r="P18" s="39">
        <f>3923.5-9393.66-1126</f>
        <v>-6596.16</v>
      </c>
      <c r="Q18" s="39">
        <f>O18+P18</f>
        <v>366550.69</v>
      </c>
    </row>
    <row r="19" spans="1:19" x14ac:dyDescent="0.25">
      <c r="A19" s="41" t="s">
        <v>25</v>
      </c>
      <c r="B19" s="37" t="s">
        <v>13</v>
      </c>
      <c r="C19" s="34" t="s">
        <v>190</v>
      </c>
      <c r="D19" s="34" t="s">
        <v>193</v>
      </c>
      <c r="E19" s="34" t="s">
        <v>26</v>
      </c>
      <c r="F19" s="39">
        <f>F20</f>
        <v>1000</v>
      </c>
      <c r="G19" s="39">
        <f>G20</f>
        <v>1000</v>
      </c>
      <c r="H19" s="39">
        <f>H20</f>
        <v>1000</v>
      </c>
      <c r="I19" s="39">
        <f t="shared" ref="I19:Q19" si="18">I20</f>
        <v>0</v>
      </c>
      <c r="J19" s="39">
        <f t="shared" si="18"/>
        <v>1000</v>
      </c>
      <c r="K19" s="39">
        <f t="shared" si="18"/>
        <v>0</v>
      </c>
      <c r="L19" s="39">
        <f t="shared" si="18"/>
        <v>1000</v>
      </c>
      <c r="M19" s="39"/>
      <c r="N19" s="39">
        <f t="shared" si="18"/>
        <v>0</v>
      </c>
      <c r="O19" s="39">
        <f t="shared" si="18"/>
        <v>1000</v>
      </c>
      <c r="P19" s="39">
        <f t="shared" si="18"/>
        <v>-222</v>
      </c>
      <c r="Q19" s="39">
        <f t="shared" si="18"/>
        <v>778</v>
      </c>
    </row>
    <row r="20" spans="1:19" x14ac:dyDescent="0.25">
      <c r="A20" s="41" t="s">
        <v>194</v>
      </c>
      <c r="B20" s="37" t="s">
        <v>13</v>
      </c>
      <c r="C20" s="34" t="s">
        <v>190</v>
      </c>
      <c r="D20" s="34" t="s">
        <v>193</v>
      </c>
      <c r="E20" s="34" t="s">
        <v>195</v>
      </c>
      <c r="F20" s="39">
        <v>1000</v>
      </c>
      <c r="G20" s="39">
        <v>1000</v>
      </c>
      <c r="H20" s="39">
        <v>1000</v>
      </c>
      <c r="I20" s="39">
        <f>+J20-F20</f>
        <v>0</v>
      </c>
      <c r="J20" s="39">
        <v>1000</v>
      </c>
      <c r="K20" s="39">
        <f>+L20-H20</f>
        <v>0</v>
      </c>
      <c r="L20" s="39">
        <v>1000</v>
      </c>
      <c r="M20" s="39"/>
      <c r="N20" s="39"/>
      <c r="O20" s="39">
        <v>1000</v>
      </c>
      <c r="P20" s="39">
        <v>-222</v>
      </c>
      <c r="Q20" s="39">
        <f>O20+P20</f>
        <v>778</v>
      </c>
    </row>
    <row r="21" spans="1:19" ht="24" x14ac:dyDescent="0.25">
      <c r="A21" s="43" t="s">
        <v>196</v>
      </c>
      <c r="B21" s="37" t="s">
        <v>13</v>
      </c>
      <c r="C21" s="34" t="s">
        <v>190</v>
      </c>
      <c r="D21" s="34" t="s">
        <v>197</v>
      </c>
      <c r="E21" s="34"/>
      <c r="F21" s="39">
        <f>+F22</f>
        <v>1109022</v>
      </c>
      <c r="G21" s="39">
        <f>+G22</f>
        <v>833716</v>
      </c>
      <c r="H21" s="39">
        <f>+H22</f>
        <v>833716</v>
      </c>
      <c r="I21" s="39">
        <f t="shared" ref="I21:Q21" si="19">+I22</f>
        <v>-20000</v>
      </c>
      <c r="J21" s="39">
        <f t="shared" si="19"/>
        <v>1089022</v>
      </c>
      <c r="K21" s="39">
        <f t="shared" si="19"/>
        <v>-3540</v>
      </c>
      <c r="L21" s="39">
        <f t="shared" si="19"/>
        <v>1085482</v>
      </c>
      <c r="M21" s="39"/>
      <c r="N21" s="39">
        <f t="shared" si="19"/>
        <v>-12000</v>
      </c>
      <c r="O21" s="39">
        <f t="shared" si="19"/>
        <v>1073482</v>
      </c>
      <c r="P21" s="39">
        <f t="shared" si="19"/>
        <v>44906.57</v>
      </c>
      <c r="Q21" s="39">
        <f t="shared" si="19"/>
        <v>1118388.57</v>
      </c>
    </row>
    <row r="22" spans="1:19" ht="60.75" x14ac:dyDescent="0.25">
      <c r="A22" s="41" t="s">
        <v>19</v>
      </c>
      <c r="B22" s="37" t="s">
        <v>13</v>
      </c>
      <c r="C22" s="34" t="s">
        <v>190</v>
      </c>
      <c r="D22" s="34" t="s">
        <v>197</v>
      </c>
      <c r="E22" s="34" t="s">
        <v>20</v>
      </c>
      <c r="F22" s="39">
        <f>F23</f>
        <v>1109022</v>
      </c>
      <c r="G22" s="39">
        <f>G23</f>
        <v>833716</v>
      </c>
      <c r="H22" s="39">
        <f>H23</f>
        <v>833716</v>
      </c>
      <c r="I22" s="39">
        <f t="shared" ref="I22:Q22" si="20">I23</f>
        <v>-20000</v>
      </c>
      <c r="J22" s="39">
        <f t="shared" si="20"/>
        <v>1089022</v>
      </c>
      <c r="K22" s="39">
        <f t="shared" si="20"/>
        <v>-3540</v>
      </c>
      <c r="L22" s="39">
        <f t="shared" si="20"/>
        <v>1085482</v>
      </c>
      <c r="M22" s="39"/>
      <c r="N22" s="39">
        <f t="shared" si="20"/>
        <v>-12000</v>
      </c>
      <c r="O22" s="39">
        <f t="shared" si="20"/>
        <v>1073482</v>
      </c>
      <c r="P22" s="39">
        <f t="shared" si="20"/>
        <v>44906.57</v>
      </c>
      <c r="Q22" s="39">
        <f t="shared" si="20"/>
        <v>1118388.57</v>
      </c>
    </row>
    <row r="23" spans="1:19" ht="24.75" x14ac:dyDescent="0.25">
      <c r="A23" s="41" t="s">
        <v>21</v>
      </c>
      <c r="B23" s="37" t="s">
        <v>13</v>
      </c>
      <c r="C23" s="34" t="s">
        <v>190</v>
      </c>
      <c r="D23" s="34" t="s">
        <v>197</v>
      </c>
      <c r="E23" s="34" t="s">
        <v>22</v>
      </c>
      <c r="F23" s="39">
        <f>859707+249315</f>
        <v>1109022</v>
      </c>
      <c r="G23" s="39">
        <v>833716</v>
      </c>
      <c r="H23" s="39">
        <v>833716</v>
      </c>
      <c r="I23" s="39">
        <v>-20000</v>
      </c>
      <c r="J23" s="39">
        <f>+F23+I23</f>
        <v>1089022</v>
      </c>
      <c r="K23" s="39">
        <v>-3540</v>
      </c>
      <c r="L23" s="39">
        <f>J23+K23</f>
        <v>1085482</v>
      </c>
      <c r="M23" s="39"/>
      <c r="N23" s="39">
        <v>-12000</v>
      </c>
      <c r="O23" s="39">
        <f>L23+N23</f>
        <v>1073482</v>
      </c>
      <c r="P23" s="39">
        <f>37083.57+7823</f>
        <v>44906.57</v>
      </c>
      <c r="Q23" s="39">
        <f>O23+P23</f>
        <v>1118388.57</v>
      </c>
    </row>
    <row r="24" spans="1:19" ht="24" x14ac:dyDescent="0.25">
      <c r="A24" s="43" t="s">
        <v>198</v>
      </c>
      <c r="B24" s="37" t="s">
        <v>13</v>
      </c>
      <c r="C24" s="34" t="s">
        <v>190</v>
      </c>
      <c r="D24" s="34" t="s">
        <v>199</v>
      </c>
      <c r="E24" s="34"/>
      <c r="F24" s="39">
        <f t="shared" ref="F24:Q24" si="21">+F25</f>
        <v>1207500</v>
      </c>
      <c r="G24" s="39">
        <f t="shared" si="21"/>
        <v>1350000</v>
      </c>
      <c r="H24" s="39">
        <f t="shared" si="21"/>
        <v>1350000</v>
      </c>
      <c r="I24" s="39">
        <f t="shared" si="21"/>
        <v>0</v>
      </c>
      <c r="J24" s="39">
        <f t="shared" si="21"/>
        <v>1207500</v>
      </c>
      <c r="K24" s="39">
        <f t="shared" si="21"/>
        <v>0</v>
      </c>
      <c r="L24" s="39">
        <f t="shared" si="21"/>
        <v>1207500</v>
      </c>
      <c r="M24" s="39"/>
      <c r="N24" s="39">
        <f t="shared" si="21"/>
        <v>0</v>
      </c>
      <c r="O24" s="39">
        <f t="shared" si="21"/>
        <v>1207500</v>
      </c>
      <c r="P24" s="39">
        <f t="shared" si="21"/>
        <v>7500</v>
      </c>
      <c r="Q24" s="39">
        <f t="shared" si="21"/>
        <v>1215000</v>
      </c>
    </row>
    <row r="25" spans="1:19" ht="60.75" x14ac:dyDescent="0.25">
      <c r="A25" s="41" t="s">
        <v>19</v>
      </c>
      <c r="B25" s="37" t="s">
        <v>13</v>
      </c>
      <c r="C25" s="34" t="s">
        <v>190</v>
      </c>
      <c r="D25" s="34" t="s">
        <v>199</v>
      </c>
      <c r="E25" s="34" t="s">
        <v>20</v>
      </c>
      <c r="F25" s="39">
        <f>F26</f>
        <v>1207500</v>
      </c>
      <c r="G25" s="39">
        <f>G26</f>
        <v>1350000</v>
      </c>
      <c r="H25" s="39">
        <f>H26</f>
        <v>1350000</v>
      </c>
      <c r="I25" s="39">
        <f t="shared" ref="I25:Q25" si="22">I26</f>
        <v>0</v>
      </c>
      <c r="J25" s="39">
        <f t="shared" si="22"/>
        <v>1207500</v>
      </c>
      <c r="K25" s="39">
        <f t="shared" si="22"/>
        <v>0</v>
      </c>
      <c r="L25" s="39">
        <f t="shared" si="22"/>
        <v>1207500</v>
      </c>
      <c r="M25" s="39"/>
      <c r="N25" s="39">
        <f t="shared" si="22"/>
        <v>0</v>
      </c>
      <c r="O25" s="39">
        <f t="shared" si="22"/>
        <v>1207500</v>
      </c>
      <c r="P25" s="39">
        <f t="shared" si="22"/>
        <v>7500</v>
      </c>
      <c r="Q25" s="39">
        <f t="shared" si="22"/>
        <v>1215000</v>
      </c>
    </row>
    <row r="26" spans="1:19" ht="24.75" x14ac:dyDescent="0.25">
      <c r="A26" s="41" t="s">
        <v>21</v>
      </c>
      <c r="B26" s="37" t="s">
        <v>13</v>
      </c>
      <c r="C26" s="34" t="s">
        <v>190</v>
      </c>
      <c r="D26" s="34" t="s">
        <v>199</v>
      </c>
      <c r="E26" s="34" t="s">
        <v>22</v>
      </c>
      <c r="F26" s="39">
        <v>1207500</v>
      </c>
      <c r="G26" s="39">
        <v>1350000</v>
      </c>
      <c r="H26" s="39">
        <v>1350000</v>
      </c>
      <c r="I26" s="39">
        <f>+J26-F26</f>
        <v>0</v>
      </c>
      <c r="J26" s="39">
        <v>1207500</v>
      </c>
      <c r="K26" s="39"/>
      <c r="L26" s="39">
        <v>1207500</v>
      </c>
      <c r="M26" s="39"/>
      <c r="N26" s="39"/>
      <c r="O26" s="39">
        <v>1207500</v>
      </c>
      <c r="P26" s="39">
        <v>7500</v>
      </c>
      <c r="Q26" s="39">
        <f>O26+P26</f>
        <v>1215000</v>
      </c>
    </row>
    <row r="27" spans="1:19" ht="48.75" x14ac:dyDescent="0.25">
      <c r="A27" s="32" t="s">
        <v>12</v>
      </c>
      <c r="B27" s="33" t="s">
        <v>13</v>
      </c>
      <c r="C27" s="29" t="s">
        <v>14</v>
      </c>
      <c r="D27" s="34"/>
      <c r="E27" s="35"/>
      <c r="F27" s="26">
        <f>+F28</f>
        <v>19997117.699999999</v>
      </c>
      <c r="G27" s="26">
        <f>+G28</f>
        <v>15960229</v>
      </c>
      <c r="H27" s="26">
        <f>+H28</f>
        <v>16187006</v>
      </c>
      <c r="I27" s="26">
        <f t="shared" ref="I27:Q27" si="23">+I28</f>
        <v>120000</v>
      </c>
      <c r="J27" s="26">
        <f t="shared" si="23"/>
        <v>20117117.699999999</v>
      </c>
      <c r="K27" s="26">
        <f t="shared" si="23"/>
        <v>0</v>
      </c>
      <c r="L27" s="26">
        <f t="shared" si="23"/>
        <v>20117117.699999999</v>
      </c>
      <c r="M27" s="26"/>
      <c r="N27" s="26">
        <f t="shared" si="23"/>
        <v>0</v>
      </c>
      <c r="O27" s="26">
        <f t="shared" si="23"/>
        <v>20117117.699999999</v>
      </c>
      <c r="P27" s="26">
        <f t="shared" si="23"/>
        <v>-72903.700000000012</v>
      </c>
      <c r="Q27" s="26">
        <f t="shared" si="23"/>
        <v>20044214</v>
      </c>
      <c r="R27" s="172"/>
      <c r="S27" s="9"/>
    </row>
    <row r="28" spans="1:19" x14ac:dyDescent="0.25">
      <c r="A28" s="36" t="s">
        <v>15</v>
      </c>
      <c r="B28" s="37" t="s">
        <v>13</v>
      </c>
      <c r="C28" s="34" t="s">
        <v>14</v>
      </c>
      <c r="D28" s="34" t="s">
        <v>16</v>
      </c>
      <c r="E28" s="35"/>
      <c r="F28" s="39">
        <f>F29+F36</f>
        <v>19997117.699999999</v>
      </c>
      <c r="G28" s="39">
        <f>G29+G36</f>
        <v>15960229</v>
      </c>
      <c r="H28" s="39">
        <f>H29+H36</f>
        <v>16187006</v>
      </c>
      <c r="I28" s="39">
        <f t="shared" ref="I28:J28" si="24">I29+I36</f>
        <v>120000</v>
      </c>
      <c r="J28" s="39">
        <f t="shared" si="24"/>
        <v>20117117.699999999</v>
      </c>
      <c r="K28" s="39">
        <f t="shared" ref="K28:L28" si="25">K29+K36</f>
        <v>0</v>
      </c>
      <c r="L28" s="39">
        <f t="shared" si="25"/>
        <v>20117117.699999999</v>
      </c>
      <c r="M28" s="39"/>
      <c r="N28" s="39">
        <f t="shared" ref="N28:O28" si="26">N29+N36</f>
        <v>0</v>
      </c>
      <c r="O28" s="39">
        <f t="shared" si="26"/>
        <v>20117117.699999999</v>
      </c>
      <c r="P28" s="39">
        <f t="shared" ref="P28:Q28" si="27">P29+P36</f>
        <v>-72903.700000000012</v>
      </c>
      <c r="Q28" s="39">
        <f t="shared" si="27"/>
        <v>20044214</v>
      </c>
      <c r="R28" s="144"/>
    </row>
    <row r="29" spans="1:19" x14ac:dyDescent="0.25">
      <c r="A29" s="40" t="s">
        <v>17</v>
      </c>
      <c r="B29" s="37" t="s">
        <v>13</v>
      </c>
      <c r="C29" s="34" t="s">
        <v>14</v>
      </c>
      <c r="D29" s="34" t="s">
        <v>18</v>
      </c>
      <c r="E29" s="35"/>
      <c r="F29" s="39">
        <f>+F30+F32+F34</f>
        <v>18892455.699999999</v>
      </c>
      <c r="G29" s="39">
        <f>+G30+G32+G34</f>
        <v>15141338</v>
      </c>
      <c r="H29" s="39">
        <f>+H30+H32+H34</f>
        <v>15368115</v>
      </c>
      <c r="I29" s="39">
        <f t="shared" ref="I29:J29" si="28">+I30+I32+I34</f>
        <v>120000</v>
      </c>
      <c r="J29" s="39">
        <f t="shared" si="28"/>
        <v>19012455.699999999</v>
      </c>
      <c r="K29" s="39">
        <f t="shared" ref="K29:L29" si="29">+K30+K32+K34</f>
        <v>0</v>
      </c>
      <c r="L29" s="39">
        <f t="shared" si="29"/>
        <v>19012455.699999999</v>
      </c>
      <c r="M29" s="39"/>
      <c r="N29" s="39">
        <f t="shared" ref="N29:O29" si="30">+N30+N32+N34</f>
        <v>0</v>
      </c>
      <c r="O29" s="39">
        <f t="shared" si="30"/>
        <v>19012455.699999999</v>
      </c>
      <c r="P29" s="39">
        <f t="shared" ref="P29:Q29" si="31">+P30+P32+P34</f>
        <v>-79861.450000000012</v>
      </c>
      <c r="Q29" s="39">
        <f t="shared" si="31"/>
        <v>18932594.25</v>
      </c>
    </row>
    <row r="30" spans="1:19" ht="60.75" x14ac:dyDescent="0.25">
      <c r="A30" s="41" t="s">
        <v>19</v>
      </c>
      <c r="B30" s="37" t="s">
        <v>13</v>
      </c>
      <c r="C30" s="34" t="s">
        <v>14</v>
      </c>
      <c r="D30" s="34" t="s">
        <v>18</v>
      </c>
      <c r="E30" s="34" t="s">
        <v>20</v>
      </c>
      <c r="F30" s="39">
        <f>F31</f>
        <v>16314960</v>
      </c>
      <c r="G30" s="39">
        <f>G31</f>
        <v>12097418</v>
      </c>
      <c r="H30" s="39">
        <f>H31</f>
        <v>12097418</v>
      </c>
      <c r="I30" s="39">
        <f t="shared" ref="I30:Q30" si="32">I31</f>
        <v>0</v>
      </c>
      <c r="J30" s="39">
        <f t="shared" si="32"/>
        <v>16314960</v>
      </c>
      <c r="K30" s="39">
        <f t="shared" si="32"/>
        <v>0</v>
      </c>
      <c r="L30" s="39">
        <f t="shared" si="32"/>
        <v>16314960</v>
      </c>
      <c r="M30" s="39"/>
      <c r="N30" s="39">
        <f t="shared" si="32"/>
        <v>0</v>
      </c>
      <c r="O30" s="39">
        <f t="shared" si="32"/>
        <v>16314960</v>
      </c>
      <c r="P30" s="39">
        <f t="shared" si="32"/>
        <v>-192402.45</v>
      </c>
      <c r="Q30" s="39">
        <f t="shared" si="32"/>
        <v>16122557.550000001</v>
      </c>
    </row>
    <row r="31" spans="1:19" ht="24.75" x14ac:dyDescent="0.25">
      <c r="A31" s="41" t="s">
        <v>21</v>
      </c>
      <c r="B31" s="37" t="s">
        <v>13</v>
      </c>
      <c r="C31" s="34" t="s">
        <v>14</v>
      </c>
      <c r="D31" s="34" t="s">
        <v>18</v>
      </c>
      <c r="E31" s="34" t="s">
        <v>22</v>
      </c>
      <c r="F31" s="39">
        <f>12530691+3784269</f>
        <v>16314960</v>
      </c>
      <c r="G31" s="39">
        <f>9291412+2806006</f>
        <v>12097418</v>
      </c>
      <c r="H31" s="39">
        <f>9291412+2806006</f>
        <v>12097418</v>
      </c>
      <c r="I31" s="39">
        <f>+J31-F31</f>
        <v>0</v>
      </c>
      <c r="J31" s="39">
        <f>16313430+1530</f>
        <v>16314960</v>
      </c>
      <c r="K31" s="39"/>
      <c r="L31" s="39">
        <f>16313430+1530</f>
        <v>16314960</v>
      </c>
      <c r="M31" s="39"/>
      <c r="N31" s="39"/>
      <c r="O31" s="39">
        <f>16313430+1530</f>
        <v>16314960</v>
      </c>
      <c r="P31" s="39">
        <f>-144577.45-49500+1675</f>
        <v>-192402.45</v>
      </c>
      <c r="Q31" s="39">
        <f>O31+P31</f>
        <v>16122557.550000001</v>
      </c>
    </row>
    <row r="32" spans="1:19" ht="24.75" x14ac:dyDescent="0.25">
      <c r="A32" s="41" t="s">
        <v>44</v>
      </c>
      <c r="B32" s="37" t="s">
        <v>13</v>
      </c>
      <c r="C32" s="34" t="s">
        <v>14</v>
      </c>
      <c r="D32" s="34" t="s">
        <v>18</v>
      </c>
      <c r="E32" s="34" t="s">
        <v>74</v>
      </c>
      <c r="F32" s="39">
        <f>F33</f>
        <v>2567495.6999999997</v>
      </c>
      <c r="G32" s="39">
        <f>G33</f>
        <v>3033920</v>
      </c>
      <c r="H32" s="39">
        <f>H33</f>
        <v>3260697</v>
      </c>
      <c r="I32" s="39">
        <f t="shared" ref="I32:Q32" si="33">I33</f>
        <v>120000</v>
      </c>
      <c r="J32" s="39">
        <f t="shared" si="33"/>
        <v>2687495.6999999997</v>
      </c>
      <c r="K32" s="39">
        <f t="shared" si="33"/>
        <v>0</v>
      </c>
      <c r="L32" s="39">
        <f t="shared" si="33"/>
        <v>2687495.6999999997</v>
      </c>
      <c r="M32" s="39"/>
      <c r="N32" s="39">
        <f t="shared" si="33"/>
        <v>0</v>
      </c>
      <c r="O32" s="39">
        <f t="shared" si="33"/>
        <v>2687495.6999999997</v>
      </c>
      <c r="P32" s="39">
        <f t="shared" si="33"/>
        <v>122541</v>
      </c>
      <c r="Q32" s="39">
        <f t="shared" si="33"/>
        <v>2810036.6999999997</v>
      </c>
    </row>
    <row r="33" spans="1:18" ht="36.75" x14ac:dyDescent="0.25">
      <c r="A33" s="41" t="s">
        <v>23</v>
      </c>
      <c r="B33" s="37" t="s">
        <v>13</v>
      </c>
      <c r="C33" s="34" t="s">
        <v>14</v>
      </c>
      <c r="D33" s="34" t="s">
        <v>18</v>
      </c>
      <c r="E33" s="34" t="s">
        <v>24</v>
      </c>
      <c r="F33" s="39">
        <f>(629399+10000+570467+310644+150161+15000+1128535)*0.95-106000</f>
        <v>2567495.6999999997</v>
      </c>
      <c r="G33" s="39">
        <f>675974+10740+623404+333632+161273+16850+1212047</f>
        <v>3033920</v>
      </c>
      <c r="H33" s="39">
        <f>723293+11492+680745+356986+172562+28730+1296890-10000-1</f>
        <v>3260697</v>
      </c>
      <c r="I33" s="39">
        <v>120000</v>
      </c>
      <c r="J33" s="39">
        <f>+F33+I33</f>
        <v>2687495.6999999997</v>
      </c>
      <c r="K33" s="39"/>
      <c r="L33" s="39">
        <f>J33+K33</f>
        <v>2687495.6999999997</v>
      </c>
      <c r="M33" s="115"/>
      <c r="N33" s="39"/>
      <c r="O33" s="39">
        <f>L33+N33</f>
        <v>2687495.6999999997</v>
      </c>
      <c r="P33" s="39">
        <f>236741+750-114950</f>
        <v>122541</v>
      </c>
      <c r="Q33" s="39">
        <f>O33+P33</f>
        <v>2810036.6999999997</v>
      </c>
      <c r="R33" s="144"/>
    </row>
    <row r="34" spans="1:18" x14ac:dyDescent="0.25">
      <c r="A34" s="41" t="s">
        <v>25</v>
      </c>
      <c r="B34" s="37" t="s">
        <v>13</v>
      </c>
      <c r="C34" s="34" t="s">
        <v>14</v>
      </c>
      <c r="D34" s="34" t="s">
        <v>18</v>
      </c>
      <c r="E34" s="34" t="s">
        <v>26</v>
      </c>
      <c r="F34" s="39">
        <f>F35</f>
        <v>10000</v>
      </c>
      <c r="G34" s="39">
        <f>G35</f>
        <v>10000</v>
      </c>
      <c r="H34" s="39">
        <f>H35</f>
        <v>10000</v>
      </c>
      <c r="I34" s="39">
        <f t="shared" ref="I34:Q34" si="34">I35</f>
        <v>0</v>
      </c>
      <c r="J34" s="39">
        <f t="shared" si="34"/>
        <v>10000</v>
      </c>
      <c r="K34" s="39">
        <f t="shared" si="34"/>
        <v>0</v>
      </c>
      <c r="L34" s="39">
        <f t="shared" si="34"/>
        <v>10000</v>
      </c>
      <c r="M34" s="39"/>
      <c r="N34" s="39">
        <f t="shared" si="34"/>
        <v>0</v>
      </c>
      <c r="O34" s="39">
        <f t="shared" si="34"/>
        <v>10000</v>
      </c>
      <c r="P34" s="39">
        <f t="shared" si="34"/>
        <v>-10000</v>
      </c>
      <c r="Q34" s="39">
        <f t="shared" si="34"/>
        <v>0</v>
      </c>
    </row>
    <row r="35" spans="1:18" x14ac:dyDescent="0.25">
      <c r="A35" s="41" t="s">
        <v>194</v>
      </c>
      <c r="B35" s="37" t="s">
        <v>13</v>
      </c>
      <c r="C35" s="34" t="s">
        <v>14</v>
      </c>
      <c r="D35" s="34" t="s">
        <v>18</v>
      </c>
      <c r="E35" s="34" t="s">
        <v>195</v>
      </c>
      <c r="F35" s="39">
        <v>10000</v>
      </c>
      <c r="G35" s="39">
        <v>10000</v>
      </c>
      <c r="H35" s="39">
        <v>10000</v>
      </c>
      <c r="I35" s="39">
        <f>+J35-F35</f>
        <v>0</v>
      </c>
      <c r="J35" s="39">
        <v>10000</v>
      </c>
      <c r="K35" s="39">
        <f>+L35-H35</f>
        <v>0</v>
      </c>
      <c r="L35" s="39">
        <v>10000</v>
      </c>
      <c r="M35" s="39"/>
      <c r="N35" s="39"/>
      <c r="O35" s="39">
        <v>10000</v>
      </c>
      <c r="P35" s="39">
        <v>-10000</v>
      </c>
      <c r="Q35" s="39">
        <f>O35+P35</f>
        <v>0</v>
      </c>
    </row>
    <row r="36" spans="1:18" x14ac:dyDescent="0.25">
      <c r="A36" s="43" t="s">
        <v>27</v>
      </c>
      <c r="B36" s="37" t="s">
        <v>13</v>
      </c>
      <c r="C36" s="34" t="s">
        <v>14</v>
      </c>
      <c r="D36" s="34" t="s">
        <v>28</v>
      </c>
      <c r="E36" s="35"/>
      <c r="F36" s="39">
        <f t="shared" ref="F36:Q36" si="35">+F37</f>
        <v>1104662</v>
      </c>
      <c r="G36" s="39">
        <f t="shared" si="35"/>
        <v>818891</v>
      </c>
      <c r="H36" s="39">
        <f t="shared" si="35"/>
        <v>818891</v>
      </c>
      <c r="I36" s="39">
        <f t="shared" si="35"/>
        <v>0</v>
      </c>
      <c r="J36" s="39">
        <f t="shared" si="35"/>
        <v>1104662</v>
      </c>
      <c r="K36" s="39">
        <f t="shared" si="35"/>
        <v>0</v>
      </c>
      <c r="L36" s="39">
        <f t="shared" si="35"/>
        <v>1104662</v>
      </c>
      <c r="M36" s="39"/>
      <c r="N36" s="39">
        <f t="shared" si="35"/>
        <v>0</v>
      </c>
      <c r="O36" s="39">
        <f t="shared" si="35"/>
        <v>1104662</v>
      </c>
      <c r="P36" s="39">
        <f t="shared" si="35"/>
        <v>6957.75</v>
      </c>
      <c r="Q36" s="39">
        <f t="shared" si="35"/>
        <v>1111619.75</v>
      </c>
    </row>
    <row r="37" spans="1:18" ht="60.75" x14ac:dyDescent="0.25">
      <c r="A37" s="41" t="s">
        <v>19</v>
      </c>
      <c r="B37" s="37" t="s">
        <v>13</v>
      </c>
      <c r="C37" s="34" t="s">
        <v>14</v>
      </c>
      <c r="D37" s="34" t="s">
        <v>28</v>
      </c>
      <c r="E37" s="34" t="s">
        <v>20</v>
      </c>
      <c r="F37" s="39">
        <f>F38</f>
        <v>1104662</v>
      </c>
      <c r="G37" s="39">
        <f>G38</f>
        <v>818891</v>
      </c>
      <c r="H37" s="39">
        <f>H38</f>
        <v>818891</v>
      </c>
      <c r="I37" s="39">
        <f t="shared" ref="I37:Q37" si="36">I38</f>
        <v>0</v>
      </c>
      <c r="J37" s="39">
        <f t="shared" si="36"/>
        <v>1104662</v>
      </c>
      <c r="K37" s="39">
        <f t="shared" si="36"/>
        <v>0</v>
      </c>
      <c r="L37" s="39">
        <f t="shared" si="36"/>
        <v>1104662</v>
      </c>
      <c r="M37" s="39"/>
      <c r="N37" s="39">
        <f t="shared" si="36"/>
        <v>0</v>
      </c>
      <c r="O37" s="39">
        <f t="shared" si="36"/>
        <v>1104662</v>
      </c>
      <c r="P37" s="39">
        <f t="shared" si="36"/>
        <v>6957.75</v>
      </c>
      <c r="Q37" s="39">
        <f t="shared" si="36"/>
        <v>1111619.75</v>
      </c>
    </row>
    <row r="38" spans="1:18" ht="24.75" x14ac:dyDescent="0.25">
      <c r="A38" s="41" t="s">
        <v>21</v>
      </c>
      <c r="B38" s="37" t="s">
        <v>13</v>
      </c>
      <c r="C38" s="34" t="s">
        <v>14</v>
      </c>
      <c r="D38" s="34" t="s">
        <v>28</v>
      </c>
      <c r="E38" s="34" t="s">
        <v>22</v>
      </c>
      <c r="F38" s="39">
        <f>848435+256227</f>
        <v>1104662</v>
      </c>
      <c r="G38" s="39">
        <v>818891</v>
      </c>
      <c r="H38" s="39">
        <v>818891</v>
      </c>
      <c r="I38" s="39">
        <f>+J38-F38</f>
        <v>0</v>
      </c>
      <c r="J38" s="39">
        <v>1104662</v>
      </c>
      <c r="K38" s="39"/>
      <c r="L38" s="39">
        <v>1104662</v>
      </c>
      <c r="M38" s="39"/>
      <c r="N38" s="39"/>
      <c r="O38" s="39">
        <v>1104662</v>
      </c>
      <c r="P38" s="39">
        <v>6957.75</v>
      </c>
      <c r="Q38" s="39">
        <f>O38+P38</f>
        <v>1111619.75</v>
      </c>
    </row>
    <row r="39" spans="1:18" ht="36" x14ac:dyDescent="0.25">
      <c r="A39" s="48" t="s">
        <v>200</v>
      </c>
      <c r="B39" s="33" t="s">
        <v>13</v>
      </c>
      <c r="C39" s="29" t="s">
        <v>201</v>
      </c>
      <c r="D39" s="92"/>
      <c r="E39" s="29"/>
      <c r="F39" s="26">
        <f>F40</f>
        <v>1637034.7</v>
      </c>
      <c r="G39" s="26">
        <f>G40</f>
        <v>1249532</v>
      </c>
      <c r="H39" s="26">
        <f>H40</f>
        <v>1263892</v>
      </c>
      <c r="I39" s="26">
        <f t="shared" ref="I39:P39" si="37">I40</f>
        <v>0</v>
      </c>
      <c r="J39" s="26">
        <f t="shared" si="37"/>
        <v>1637035</v>
      </c>
      <c r="K39" s="26">
        <f t="shared" si="37"/>
        <v>10000</v>
      </c>
      <c r="L39" s="26">
        <f t="shared" si="37"/>
        <v>1647035</v>
      </c>
      <c r="M39" s="26"/>
      <c r="N39" s="26">
        <f t="shared" si="37"/>
        <v>0</v>
      </c>
      <c r="O39" s="26">
        <f t="shared" si="37"/>
        <v>1647035</v>
      </c>
      <c r="P39" s="26">
        <f t="shared" si="37"/>
        <v>-53233.43</v>
      </c>
      <c r="Q39" s="26">
        <f>Q40</f>
        <v>1593801.5699999998</v>
      </c>
      <c r="R39" s="172"/>
    </row>
    <row r="40" spans="1:18" ht="24" x14ac:dyDescent="0.25">
      <c r="A40" s="93" t="s">
        <v>202</v>
      </c>
      <c r="B40" s="37" t="s">
        <v>13</v>
      </c>
      <c r="C40" s="34" t="s">
        <v>201</v>
      </c>
      <c r="D40" s="94">
        <v>8300000</v>
      </c>
      <c r="E40" s="34"/>
      <c r="F40" s="39">
        <f>+F41+F48</f>
        <v>1637034.7</v>
      </c>
      <c r="G40" s="39">
        <f>+G41+G48</f>
        <v>1249532</v>
      </c>
      <c r="H40" s="39">
        <f>+H41+H48</f>
        <v>1263892</v>
      </c>
      <c r="I40" s="39">
        <f t="shared" ref="I40:J40" si="38">+I41+I48</f>
        <v>0</v>
      </c>
      <c r="J40" s="39">
        <f t="shared" si="38"/>
        <v>1637035</v>
      </c>
      <c r="K40" s="39">
        <f t="shared" ref="K40:L40" si="39">+K41+K48</f>
        <v>10000</v>
      </c>
      <c r="L40" s="39">
        <f t="shared" si="39"/>
        <v>1647035</v>
      </c>
      <c r="M40" s="39"/>
      <c r="N40" s="39">
        <f t="shared" ref="N40:O40" si="40">+N41+N48</f>
        <v>0</v>
      </c>
      <c r="O40" s="39">
        <f t="shared" si="40"/>
        <v>1647035</v>
      </c>
      <c r="P40" s="39">
        <f t="shared" ref="P40" si="41">+P41+P48</f>
        <v>-53233.43</v>
      </c>
      <c r="Q40" s="39">
        <f>+Q41+Q48</f>
        <v>1593801.5699999998</v>
      </c>
      <c r="R40" s="144"/>
    </row>
    <row r="41" spans="1:18" x14ac:dyDescent="0.25">
      <c r="A41" s="95" t="s">
        <v>17</v>
      </c>
      <c r="B41" s="37" t="s">
        <v>13</v>
      </c>
      <c r="C41" s="34" t="s">
        <v>201</v>
      </c>
      <c r="D41" s="96">
        <v>8300040</v>
      </c>
      <c r="E41" s="34"/>
      <c r="F41" s="39">
        <f>+F42+F44+F46</f>
        <v>834386.7</v>
      </c>
      <c r="G41" s="39">
        <f>+G42+G44+G46</f>
        <v>686354</v>
      </c>
      <c r="H41" s="39">
        <f>+H42+H44+H46</f>
        <v>700714</v>
      </c>
      <c r="I41" s="39">
        <f t="shared" ref="I41:J41" si="42">+I42+I44+I46</f>
        <v>0</v>
      </c>
      <c r="J41" s="39">
        <f t="shared" si="42"/>
        <v>834387</v>
      </c>
      <c r="K41" s="39">
        <f t="shared" ref="K41:L41" si="43">+K42+K44+K46</f>
        <v>10000</v>
      </c>
      <c r="L41" s="39">
        <f t="shared" si="43"/>
        <v>844387</v>
      </c>
      <c r="M41" s="39"/>
      <c r="N41" s="39">
        <f t="shared" ref="N41:O41" si="44">+N42+N44+N46</f>
        <v>0</v>
      </c>
      <c r="O41" s="39">
        <f t="shared" si="44"/>
        <v>844387</v>
      </c>
      <c r="P41" s="39">
        <f>+P42+P44+P46</f>
        <v>-28577</v>
      </c>
      <c r="Q41" s="39">
        <f>+Q42+Q44+Q46</f>
        <v>815810</v>
      </c>
      <c r="R41" s="144"/>
    </row>
    <row r="42" spans="1:18" ht="60.75" x14ac:dyDescent="0.25">
      <c r="A42" s="41" t="s">
        <v>19</v>
      </c>
      <c r="B42" s="37" t="s">
        <v>13</v>
      </c>
      <c r="C42" s="34" t="s">
        <v>201</v>
      </c>
      <c r="D42" s="96">
        <v>8300040</v>
      </c>
      <c r="E42" s="34" t="s">
        <v>20</v>
      </c>
      <c r="F42" s="39">
        <f>F43</f>
        <v>661900</v>
      </c>
      <c r="G42" s="39">
        <f>G43</f>
        <v>481235</v>
      </c>
      <c r="H42" s="39">
        <f>H43</f>
        <v>481235</v>
      </c>
      <c r="I42" s="39">
        <f t="shared" ref="I42:Q42" si="45">I43</f>
        <v>0</v>
      </c>
      <c r="J42" s="39">
        <f t="shared" si="45"/>
        <v>661900</v>
      </c>
      <c r="K42" s="39">
        <f t="shared" si="45"/>
        <v>0</v>
      </c>
      <c r="L42" s="39">
        <f t="shared" si="45"/>
        <v>661900</v>
      </c>
      <c r="M42" s="39"/>
      <c r="N42" s="39">
        <f t="shared" si="45"/>
        <v>0</v>
      </c>
      <c r="O42" s="39">
        <f t="shared" si="45"/>
        <v>661900</v>
      </c>
      <c r="P42" s="39">
        <f t="shared" si="45"/>
        <v>1455</v>
      </c>
      <c r="Q42" s="39">
        <f t="shared" si="45"/>
        <v>663355</v>
      </c>
    </row>
    <row r="43" spans="1:18" ht="24.75" x14ac:dyDescent="0.25">
      <c r="A43" s="41" t="s">
        <v>21</v>
      </c>
      <c r="B43" s="37" t="s">
        <v>13</v>
      </c>
      <c r="C43" s="34" t="s">
        <v>201</v>
      </c>
      <c r="D43" s="96">
        <v>8300040</v>
      </c>
      <c r="E43" s="34" t="s">
        <v>22</v>
      </c>
      <c r="F43" s="39">
        <f>508372+153528</f>
        <v>661900</v>
      </c>
      <c r="G43" s="39">
        <f>369612+111623</f>
        <v>481235</v>
      </c>
      <c r="H43" s="39">
        <f>369612+111623</f>
        <v>481235</v>
      </c>
      <c r="I43" s="39">
        <f>+J43-F43</f>
        <v>0</v>
      </c>
      <c r="J43" s="39">
        <v>661900</v>
      </c>
      <c r="K43" s="39"/>
      <c r="L43" s="39">
        <v>661900</v>
      </c>
      <c r="M43" s="39"/>
      <c r="N43" s="39"/>
      <c r="O43" s="39">
        <v>661900</v>
      </c>
      <c r="P43" s="39">
        <v>1455</v>
      </c>
      <c r="Q43" s="39">
        <f>O43+P43</f>
        <v>663355</v>
      </c>
      <c r="R43" s="144"/>
    </row>
    <row r="44" spans="1:18" ht="24.75" x14ac:dyDescent="0.25">
      <c r="A44" s="41" t="s">
        <v>44</v>
      </c>
      <c r="B44" s="37" t="s">
        <v>13</v>
      </c>
      <c r="C44" s="34" t="s">
        <v>201</v>
      </c>
      <c r="D44" s="96">
        <v>8300040</v>
      </c>
      <c r="E44" s="34" t="s">
        <v>74</v>
      </c>
      <c r="F44" s="39">
        <f>F45</f>
        <v>171486.69999999998</v>
      </c>
      <c r="G44" s="39">
        <f>G45</f>
        <v>204119</v>
      </c>
      <c r="H44" s="39">
        <f>H45</f>
        <v>218479</v>
      </c>
      <c r="I44" s="39">
        <f t="shared" ref="I44:Q44" si="46">I45</f>
        <v>0</v>
      </c>
      <c r="J44" s="39">
        <f t="shared" si="46"/>
        <v>171487</v>
      </c>
      <c r="K44" s="39">
        <f t="shared" si="46"/>
        <v>10000</v>
      </c>
      <c r="L44" s="39">
        <f t="shared" si="46"/>
        <v>181487</v>
      </c>
      <c r="M44" s="39"/>
      <c r="N44" s="39">
        <f t="shared" si="46"/>
        <v>0</v>
      </c>
      <c r="O44" s="39">
        <f t="shared" si="46"/>
        <v>181487</v>
      </c>
      <c r="P44" s="39">
        <f t="shared" si="46"/>
        <v>-29925</v>
      </c>
      <c r="Q44" s="39">
        <f t="shared" si="46"/>
        <v>151562</v>
      </c>
    </row>
    <row r="45" spans="1:18" ht="36.75" x14ac:dyDescent="0.25">
      <c r="A45" s="41" t="s">
        <v>23</v>
      </c>
      <c r="B45" s="37" t="s">
        <v>13</v>
      </c>
      <c r="C45" s="34" t="s">
        <v>201</v>
      </c>
      <c r="D45" s="96">
        <v>8300040</v>
      </c>
      <c r="E45" s="34" t="s">
        <v>24</v>
      </c>
      <c r="F45" s="39">
        <f>(24986+3000+145000+2000+15000)*0.95-9000</f>
        <v>171486.69999999998</v>
      </c>
      <c r="G45" s="39">
        <f>26835+3222+155730+3222-1000+16110</f>
        <v>204119</v>
      </c>
      <c r="H45" s="39">
        <f>28714+3448+166631+3448+17238-1000</f>
        <v>218479</v>
      </c>
      <c r="I45" s="39"/>
      <c r="J45" s="39">
        <v>171487</v>
      </c>
      <c r="K45" s="39">
        <v>10000</v>
      </c>
      <c r="L45" s="39">
        <f>J45+K45</f>
        <v>181487</v>
      </c>
      <c r="M45" s="39"/>
      <c r="N45" s="39"/>
      <c r="O45" s="39">
        <f>L45+N45</f>
        <v>181487</v>
      </c>
      <c r="P45" s="39">
        <v>-29925</v>
      </c>
      <c r="Q45" s="39">
        <f>O45+P45</f>
        <v>151562</v>
      </c>
    </row>
    <row r="46" spans="1:18" x14ac:dyDescent="0.25">
      <c r="A46" s="41" t="s">
        <v>25</v>
      </c>
      <c r="B46" s="37" t="s">
        <v>13</v>
      </c>
      <c r="C46" s="34" t="s">
        <v>201</v>
      </c>
      <c r="D46" s="96">
        <v>8300040</v>
      </c>
      <c r="E46" s="34" t="s">
        <v>26</v>
      </c>
      <c r="F46" s="39">
        <f>F47</f>
        <v>1000</v>
      </c>
      <c r="G46" s="39">
        <f>G47</f>
        <v>1000</v>
      </c>
      <c r="H46" s="39">
        <f>H47</f>
        <v>1000</v>
      </c>
      <c r="I46" s="39">
        <f t="shared" ref="I46:Q46" si="47">I47</f>
        <v>0</v>
      </c>
      <c r="J46" s="39">
        <f t="shared" si="47"/>
        <v>1000</v>
      </c>
      <c r="K46" s="39">
        <f t="shared" si="47"/>
        <v>0</v>
      </c>
      <c r="L46" s="39">
        <f t="shared" si="47"/>
        <v>1000</v>
      </c>
      <c r="M46" s="39"/>
      <c r="N46" s="39">
        <f t="shared" si="47"/>
        <v>0</v>
      </c>
      <c r="O46" s="39">
        <f t="shared" si="47"/>
        <v>1000</v>
      </c>
      <c r="P46" s="39">
        <f t="shared" si="47"/>
        <v>-107</v>
      </c>
      <c r="Q46" s="39">
        <f t="shared" si="47"/>
        <v>893</v>
      </c>
    </row>
    <row r="47" spans="1:18" x14ac:dyDescent="0.25">
      <c r="A47" s="41" t="s">
        <v>194</v>
      </c>
      <c r="B47" s="37" t="s">
        <v>13</v>
      </c>
      <c r="C47" s="34" t="s">
        <v>201</v>
      </c>
      <c r="D47" s="96">
        <v>8300040</v>
      </c>
      <c r="E47" s="34" t="s">
        <v>195</v>
      </c>
      <c r="F47" s="39">
        <v>1000</v>
      </c>
      <c r="G47" s="39">
        <v>1000</v>
      </c>
      <c r="H47" s="39">
        <v>1000</v>
      </c>
      <c r="I47" s="39">
        <f>+J47-F47</f>
        <v>0</v>
      </c>
      <c r="J47" s="39">
        <v>1000</v>
      </c>
      <c r="K47" s="39">
        <f>+L47-H47</f>
        <v>0</v>
      </c>
      <c r="L47" s="39">
        <v>1000</v>
      </c>
      <c r="M47" s="39"/>
      <c r="N47" s="39"/>
      <c r="O47" s="39">
        <v>1000</v>
      </c>
      <c r="P47" s="39">
        <v>-107</v>
      </c>
      <c r="Q47" s="39">
        <f>O47+P47</f>
        <v>893</v>
      </c>
    </row>
    <row r="48" spans="1:18" ht="24" x14ac:dyDescent="0.25">
      <c r="A48" s="93" t="s">
        <v>203</v>
      </c>
      <c r="B48" s="37" t="s">
        <v>13</v>
      </c>
      <c r="C48" s="34" t="s">
        <v>201</v>
      </c>
      <c r="D48" s="96">
        <v>8300044</v>
      </c>
      <c r="E48" s="35"/>
      <c r="F48" s="79">
        <f t="shared" ref="F48:Q48" si="48">+F49</f>
        <v>802648</v>
      </c>
      <c r="G48" s="79">
        <f t="shared" si="48"/>
        <v>563178</v>
      </c>
      <c r="H48" s="79">
        <f t="shared" si="48"/>
        <v>563178</v>
      </c>
      <c r="I48" s="79">
        <f t="shared" si="48"/>
        <v>0</v>
      </c>
      <c r="J48" s="79">
        <f t="shared" si="48"/>
        <v>802648</v>
      </c>
      <c r="K48" s="79">
        <f t="shared" si="48"/>
        <v>0</v>
      </c>
      <c r="L48" s="79">
        <f t="shared" si="48"/>
        <v>802648</v>
      </c>
      <c r="M48" s="79"/>
      <c r="N48" s="79">
        <f t="shared" si="48"/>
        <v>0</v>
      </c>
      <c r="O48" s="79">
        <f t="shared" si="48"/>
        <v>802648</v>
      </c>
      <c r="P48" s="79">
        <f t="shared" si="48"/>
        <v>-24656.43</v>
      </c>
      <c r="Q48" s="79">
        <f t="shared" si="48"/>
        <v>777991.57</v>
      </c>
    </row>
    <row r="49" spans="1:20" ht="60.75" x14ac:dyDescent="0.25">
      <c r="A49" s="41" t="s">
        <v>19</v>
      </c>
      <c r="B49" s="37" t="s">
        <v>13</v>
      </c>
      <c r="C49" s="34" t="s">
        <v>201</v>
      </c>
      <c r="D49" s="96">
        <v>8300044</v>
      </c>
      <c r="E49" s="34" t="s">
        <v>20</v>
      </c>
      <c r="F49" s="79">
        <f>F50</f>
        <v>802648</v>
      </c>
      <c r="G49" s="79">
        <f>G50</f>
        <v>563178</v>
      </c>
      <c r="H49" s="79">
        <f>H50</f>
        <v>563178</v>
      </c>
      <c r="I49" s="79">
        <f t="shared" ref="I49:Q49" si="49">I50</f>
        <v>0</v>
      </c>
      <c r="J49" s="79">
        <f t="shared" si="49"/>
        <v>802648</v>
      </c>
      <c r="K49" s="79">
        <f t="shared" si="49"/>
        <v>0</v>
      </c>
      <c r="L49" s="79">
        <f t="shared" si="49"/>
        <v>802648</v>
      </c>
      <c r="M49" s="79"/>
      <c r="N49" s="79">
        <f t="shared" si="49"/>
        <v>0</v>
      </c>
      <c r="O49" s="79">
        <f t="shared" si="49"/>
        <v>802648</v>
      </c>
      <c r="P49" s="79">
        <f t="shared" si="49"/>
        <v>-24656.43</v>
      </c>
      <c r="Q49" s="79">
        <f t="shared" si="49"/>
        <v>777991.57</v>
      </c>
    </row>
    <row r="50" spans="1:20" ht="24.75" x14ac:dyDescent="0.25">
      <c r="A50" s="41" t="s">
        <v>21</v>
      </c>
      <c r="B50" s="37" t="s">
        <v>13</v>
      </c>
      <c r="C50" s="34" t="s">
        <v>201</v>
      </c>
      <c r="D50" s="96">
        <v>8300044</v>
      </c>
      <c r="E50" s="34" t="s">
        <v>22</v>
      </c>
      <c r="F50" s="79">
        <f>616473+186175</f>
        <v>802648</v>
      </c>
      <c r="G50" s="79">
        <v>563178</v>
      </c>
      <c r="H50" s="79">
        <v>563178</v>
      </c>
      <c r="I50" s="39">
        <f>+J50-F50</f>
        <v>0</v>
      </c>
      <c r="J50" s="79">
        <v>802648</v>
      </c>
      <c r="K50" s="39"/>
      <c r="L50" s="79">
        <v>802648</v>
      </c>
      <c r="M50" s="79"/>
      <c r="N50" s="39"/>
      <c r="O50" s="79">
        <v>802648</v>
      </c>
      <c r="P50" s="39">
        <f>-25783+1126.57</f>
        <v>-24656.43</v>
      </c>
      <c r="Q50" s="79">
        <f>O50+P50</f>
        <v>777991.57</v>
      </c>
    </row>
    <row r="51" spans="1:20" ht="24" x14ac:dyDescent="0.25">
      <c r="A51" s="48" t="s">
        <v>34</v>
      </c>
      <c r="B51" s="33" t="s">
        <v>13</v>
      </c>
      <c r="C51" s="29" t="s">
        <v>35</v>
      </c>
      <c r="D51" s="34"/>
      <c r="E51" s="35"/>
      <c r="F51" s="26">
        <f t="shared" ref="F51:Q51" si="50">F52</f>
        <v>1665000</v>
      </c>
      <c r="G51" s="26">
        <f t="shared" si="50"/>
        <v>720000</v>
      </c>
      <c r="H51" s="26">
        <f t="shared" si="50"/>
        <v>730000</v>
      </c>
      <c r="I51" s="26">
        <f t="shared" si="50"/>
        <v>0</v>
      </c>
      <c r="J51" s="26">
        <f t="shared" si="50"/>
        <v>1665000</v>
      </c>
      <c r="K51" s="26">
        <f t="shared" si="50"/>
        <v>0</v>
      </c>
      <c r="L51" s="26">
        <f t="shared" si="50"/>
        <v>1665000</v>
      </c>
      <c r="M51" s="26"/>
      <c r="N51" s="26">
        <f t="shared" si="50"/>
        <v>0</v>
      </c>
      <c r="O51" s="26">
        <f t="shared" si="50"/>
        <v>1665000</v>
      </c>
      <c r="P51" s="26">
        <f>P52</f>
        <v>-182278</v>
      </c>
      <c r="Q51" s="26">
        <f t="shared" si="50"/>
        <v>1482722</v>
      </c>
      <c r="R51" s="172">
        <f>Q51-O51</f>
        <v>-182278</v>
      </c>
      <c r="S51" s="9">
        <f>Q51</f>
        <v>1482722</v>
      </c>
    </row>
    <row r="52" spans="1:20" ht="24" x14ac:dyDescent="0.25">
      <c r="A52" s="126" t="s">
        <v>36</v>
      </c>
      <c r="B52" s="37" t="s">
        <v>13</v>
      </c>
      <c r="C52" s="34" t="s">
        <v>35</v>
      </c>
      <c r="D52" s="34" t="s">
        <v>37</v>
      </c>
      <c r="E52" s="35"/>
      <c r="F52" s="39">
        <f>F53+F58+F61</f>
        <v>1665000</v>
      </c>
      <c r="G52" s="39">
        <f>G53+G58+G61</f>
        <v>720000</v>
      </c>
      <c r="H52" s="39">
        <f>H53+H58+H61</f>
        <v>730000</v>
      </c>
      <c r="I52" s="39">
        <f t="shared" ref="I52:J52" si="51">I53+I58+I61</f>
        <v>0</v>
      </c>
      <c r="J52" s="39">
        <f t="shared" si="51"/>
        <v>1665000</v>
      </c>
      <c r="K52" s="39">
        <f t="shared" ref="K52:L52" si="52">K53+K58+K61</f>
        <v>0</v>
      </c>
      <c r="L52" s="39">
        <f t="shared" si="52"/>
        <v>1665000</v>
      </c>
      <c r="M52" s="39"/>
      <c r="N52" s="39">
        <f t="shared" ref="N52" si="53">N53+N58+N61</f>
        <v>0</v>
      </c>
      <c r="O52" s="39">
        <f>O53+O58+O61</f>
        <v>1665000</v>
      </c>
      <c r="P52" s="39">
        <f>P53+P58+P61</f>
        <v>-182278</v>
      </c>
      <c r="Q52" s="39">
        <f>Q53+Q58+Q61</f>
        <v>1482722</v>
      </c>
    </row>
    <row r="53" spans="1:20" ht="24.75" x14ac:dyDescent="0.25">
      <c r="A53" s="49" t="s">
        <v>38</v>
      </c>
      <c r="B53" s="37" t="s">
        <v>13</v>
      </c>
      <c r="C53" s="34" t="s">
        <v>35</v>
      </c>
      <c r="D53" s="34" t="s">
        <v>39</v>
      </c>
      <c r="E53" s="35"/>
      <c r="F53" s="39">
        <f t="shared" ref="F53:Q54" si="54">F54</f>
        <v>1210000</v>
      </c>
      <c r="G53" s="39">
        <f t="shared" si="54"/>
        <v>0</v>
      </c>
      <c r="H53" s="39">
        <f t="shared" si="54"/>
        <v>0</v>
      </c>
      <c r="I53" s="39">
        <f t="shared" si="54"/>
        <v>0</v>
      </c>
      <c r="J53" s="39">
        <f t="shared" si="54"/>
        <v>1210000</v>
      </c>
      <c r="K53" s="39">
        <f t="shared" si="54"/>
        <v>0</v>
      </c>
      <c r="L53" s="39">
        <f t="shared" si="54"/>
        <v>1210000</v>
      </c>
      <c r="M53" s="39"/>
      <c r="N53" s="39">
        <f t="shared" si="54"/>
        <v>0</v>
      </c>
      <c r="O53" s="39">
        <f>O54</f>
        <v>1210000</v>
      </c>
      <c r="P53" s="39">
        <f>P54+P56</f>
        <v>-12058</v>
      </c>
      <c r="Q53" s="39">
        <f>Q54+Q56</f>
        <v>1197942</v>
      </c>
    </row>
    <row r="54" spans="1:20" ht="60.75" x14ac:dyDescent="0.25">
      <c r="A54" s="41" t="s">
        <v>19</v>
      </c>
      <c r="B54" s="37" t="s">
        <v>13</v>
      </c>
      <c r="C54" s="34" t="s">
        <v>35</v>
      </c>
      <c r="D54" s="34" t="s">
        <v>39</v>
      </c>
      <c r="E54" s="35">
        <v>100</v>
      </c>
      <c r="F54" s="39">
        <f t="shared" si="54"/>
        <v>1210000</v>
      </c>
      <c r="G54" s="39">
        <f t="shared" si="54"/>
        <v>0</v>
      </c>
      <c r="H54" s="39">
        <f t="shared" si="54"/>
        <v>0</v>
      </c>
      <c r="I54" s="39">
        <f t="shared" si="54"/>
        <v>0</v>
      </c>
      <c r="J54" s="39">
        <f t="shared" si="54"/>
        <v>1210000</v>
      </c>
      <c r="K54" s="39">
        <f t="shared" si="54"/>
        <v>0</v>
      </c>
      <c r="L54" s="39">
        <f t="shared" si="54"/>
        <v>1210000</v>
      </c>
      <c r="M54" s="39"/>
      <c r="N54" s="39">
        <f t="shared" si="54"/>
        <v>0</v>
      </c>
      <c r="O54" s="39">
        <f t="shared" si="54"/>
        <v>1210000</v>
      </c>
      <c r="P54" s="39">
        <f t="shared" si="54"/>
        <v>-1210000</v>
      </c>
      <c r="Q54" s="39">
        <f t="shared" si="54"/>
        <v>0</v>
      </c>
      <c r="R54" s="144"/>
    </row>
    <row r="55" spans="1:20" ht="24.75" x14ac:dyDescent="0.25">
      <c r="A55" s="46" t="s">
        <v>21</v>
      </c>
      <c r="B55" s="37" t="s">
        <v>13</v>
      </c>
      <c r="C55" s="34" t="s">
        <v>35</v>
      </c>
      <c r="D55" s="34" t="s">
        <v>39</v>
      </c>
      <c r="E55" s="35">
        <v>120</v>
      </c>
      <c r="F55" s="39">
        <v>1210000</v>
      </c>
      <c r="G55" s="39"/>
      <c r="H55" s="39"/>
      <c r="I55" s="39">
        <f>+J55-F55</f>
        <v>0</v>
      </c>
      <c r="J55" s="39">
        <v>1210000</v>
      </c>
      <c r="K55" s="39"/>
      <c r="L55" s="39">
        <v>1210000</v>
      </c>
      <c r="M55" s="39"/>
      <c r="N55" s="39"/>
      <c r="O55" s="39">
        <v>1210000</v>
      </c>
      <c r="P55" s="39">
        <v>-1210000</v>
      </c>
      <c r="Q55" s="39">
        <f>O55+P55</f>
        <v>0</v>
      </c>
    </row>
    <row r="56" spans="1:20" x14ac:dyDescent="0.25">
      <c r="A56" s="47" t="s">
        <v>25</v>
      </c>
      <c r="B56" s="37" t="s">
        <v>13</v>
      </c>
      <c r="C56" s="34" t="s">
        <v>35</v>
      </c>
      <c r="D56" s="34" t="s">
        <v>39</v>
      </c>
      <c r="E56" s="35">
        <v>800</v>
      </c>
      <c r="F56" s="39"/>
      <c r="G56" s="39"/>
      <c r="H56" s="39"/>
      <c r="I56" s="39"/>
      <c r="J56" s="39"/>
      <c r="K56" s="39"/>
      <c r="L56" s="39"/>
      <c r="M56" s="39"/>
      <c r="N56" s="39"/>
      <c r="O56" s="39">
        <f>O57</f>
        <v>0</v>
      </c>
      <c r="P56" s="39">
        <f>P57</f>
        <v>1197942</v>
      </c>
      <c r="Q56" s="39">
        <f>Q57</f>
        <v>1197942</v>
      </c>
    </row>
    <row r="57" spans="1:20" x14ac:dyDescent="0.25">
      <c r="A57" s="42" t="s">
        <v>321</v>
      </c>
      <c r="B57" s="37" t="s">
        <v>13</v>
      </c>
      <c r="C57" s="34" t="s">
        <v>35</v>
      </c>
      <c r="D57" s="34" t="s">
        <v>39</v>
      </c>
      <c r="E57" s="35">
        <v>880</v>
      </c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>
        <f>1210000-12058</f>
        <v>1197942</v>
      </c>
      <c r="Q57" s="39">
        <f>O57+P57</f>
        <v>1197942</v>
      </c>
    </row>
    <row r="58" spans="1:20" ht="36.75" x14ac:dyDescent="0.25">
      <c r="A58" s="49" t="s">
        <v>40</v>
      </c>
      <c r="B58" s="37" t="s">
        <v>13</v>
      </c>
      <c r="C58" s="34" t="s">
        <v>35</v>
      </c>
      <c r="D58" s="34" t="s">
        <v>41</v>
      </c>
      <c r="E58" s="35"/>
      <c r="F58" s="39">
        <f t="shared" ref="F58:Q59" si="55">F59</f>
        <v>200000</v>
      </c>
      <c r="G58" s="39">
        <f t="shared" si="55"/>
        <v>200000</v>
      </c>
      <c r="H58" s="39">
        <f t="shared" si="55"/>
        <v>200000</v>
      </c>
      <c r="I58" s="39">
        <f t="shared" si="55"/>
        <v>0</v>
      </c>
      <c r="J58" s="39">
        <f t="shared" si="55"/>
        <v>200000</v>
      </c>
      <c r="K58" s="39">
        <f t="shared" si="55"/>
        <v>0</v>
      </c>
      <c r="L58" s="39">
        <f t="shared" si="55"/>
        <v>200000</v>
      </c>
      <c r="M58" s="39"/>
      <c r="N58" s="39">
        <f t="shared" si="55"/>
        <v>0</v>
      </c>
      <c r="O58" s="39">
        <f t="shared" si="55"/>
        <v>200000</v>
      </c>
      <c r="P58" s="39">
        <f t="shared" si="55"/>
        <v>-25000</v>
      </c>
      <c r="Q58" s="39">
        <f t="shared" si="55"/>
        <v>175000</v>
      </c>
    </row>
    <row r="59" spans="1:20" ht="60.75" x14ac:dyDescent="0.25">
      <c r="A59" s="41" t="s">
        <v>19</v>
      </c>
      <c r="B59" s="37" t="s">
        <v>13</v>
      </c>
      <c r="C59" s="34" t="s">
        <v>35</v>
      </c>
      <c r="D59" s="34" t="s">
        <v>41</v>
      </c>
      <c r="E59" s="35">
        <v>100</v>
      </c>
      <c r="F59" s="39">
        <f t="shared" si="55"/>
        <v>200000</v>
      </c>
      <c r="G59" s="39">
        <f t="shared" si="55"/>
        <v>200000</v>
      </c>
      <c r="H59" s="39">
        <f t="shared" si="55"/>
        <v>200000</v>
      </c>
      <c r="I59" s="39">
        <f t="shared" si="55"/>
        <v>0</v>
      </c>
      <c r="J59" s="39">
        <f t="shared" si="55"/>
        <v>200000</v>
      </c>
      <c r="K59" s="39">
        <f t="shared" si="55"/>
        <v>0</v>
      </c>
      <c r="L59" s="39">
        <f t="shared" si="55"/>
        <v>200000</v>
      </c>
      <c r="M59" s="39"/>
      <c r="N59" s="39">
        <f t="shared" si="55"/>
        <v>0</v>
      </c>
      <c r="O59" s="39">
        <f t="shared" si="55"/>
        <v>200000</v>
      </c>
      <c r="P59" s="39">
        <f t="shared" si="55"/>
        <v>-25000</v>
      </c>
      <c r="Q59" s="39">
        <f t="shared" si="55"/>
        <v>175000</v>
      </c>
    </row>
    <row r="60" spans="1:20" ht="24.75" x14ac:dyDescent="0.25">
      <c r="A60" s="46" t="s">
        <v>21</v>
      </c>
      <c r="B60" s="37" t="s">
        <v>13</v>
      </c>
      <c r="C60" s="34" t="s">
        <v>35</v>
      </c>
      <c r="D60" s="34" t="s">
        <v>41</v>
      </c>
      <c r="E60" s="35">
        <v>120</v>
      </c>
      <c r="F60" s="39">
        <v>200000</v>
      </c>
      <c r="G60" s="39">
        <v>200000</v>
      </c>
      <c r="H60" s="39">
        <v>200000</v>
      </c>
      <c r="I60" s="39">
        <f>+J60-F60</f>
        <v>0</v>
      </c>
      <c r="J60" s="39">
        <v>200000</v>
      </c>
      <c r="K60" s="39">
        <f>+L60-H60</f>
        <v>0</v>
      </c>
      <c r="L60" s="39">
        <v>200000</v>
      </c>
      <c r="M60" s="39"/>
      <c r="N60" s="39"/>
      <c r="O60" s="39">
        <v>200000</v>
      </c>
      <c r="P60" s="39">
        <v>-25000</v>
      </c>
      <c r="Q60" s="39">
        <f>O60+P60</f>
        <v>175000</v>
      </c>
    </row>
    <row r="61" spans="1:20" ht="24.75" x14ac:dyDescent="0.25">
      <c r="A61" s="49" t="s">
        <v>42</v>
      </c>
      <c r="B61" s="37" t="s">
        <v>13</v>
      </c>
      <c r="C61" s="34" t="s">
        <v>35</v>
      </c>
      <c r="D61" s="34" t="s">
        <v>43</v>
      </c>
      <c r="E61" s="35"/>
      <c r="F61" s="39">
        <f t="shared" ref="F61:Q62" si="56">F62</f>
        <v>255000</v>
      </c>
      <c r="G61" s="39">
        <f t="shared" si="56"/>
        <v>520000</v>
      </c>
      <c r="H61" s="39">
        <f t="shared" si="56"/>
        <v>530000</v>
      </c>
      <c r="I61" s="39">
        <f t="shared" si="56"/>
        <v>0</v>
      </c>
      <c r="J61" s="39">
        <f t="shared" si="56"/>
        <v>255000</v>
      </c>
      <c r="K61" s="39">
        <f t="shared" si="56"/>
        <v>0</v>
      </c>
      <c r="L61" s="39">
        <f t="shared" si="56"/>
        <v>255000</v>
      </c>
      <c r="M61" s="39"/>
      <c r="N61" s="39">
        <f t="shared" si="56"/>
        <v>0</v>
      </c>
      <c r="O61" s="39">
        <f t="shared" si="56"/>
        <v>255000</v>
      </c>
      <c r="P61" s="39">
        <f t="shared" si="56"/>
        <v>-145220</v>
      </c>
      <c r="Q61" s="39">
        <f t="shared" si="56"/>
        <v>109780</v>
      </c>
    </row>
    <row r="62" spans="1:20" ht="24.75" x14ac:dyDescent="0.25">
      <c r="A62" s="41" t="s">
        <v>44</v>
      </c>
      <c r="B62" s="37" t="s">
        <v>13</v>
      </c>
      <c r="C62" s="34" t="s">
        <v>35</v>
      </c>
      <c r="D62" s="34" t="s">
        <v>43</v>
      </c>
      <c r="E62" s="35">
        <v>200</v>
      </c>
      <c r="F62" s="39">
        <f t="shared" si="56"/>
        <v>255000</v>
      </c>
      <c r="G62" s="39">
        <f t="shared" si="56"/>
        <v>520000</v>
      </c>
      <c r="H62" s="39">
        <f t="shared" si="56"/>
        <v>530000</v>
      </c>
      <c r="I62" s="39">
        <f t="shared" si="56"/>
        <v>0</v>
      </c>
      <c r="J62" s="39">
        <f t="shared" si="56"/>
        <v>255000</v>
      </c>
      <c r="K62" s="39">
        <f t="shared" si="56"/>
        <v>0</v>
      </c>
      <c r="L62" s="39">
        <f t="shared" si="56"/>
        <v>255000</v>
      </c>
      <c r="M62" s="39"/>
      <c r="N62" s="39">
        <f t="shared" si="56"/>
        <v>0</v>
      </c>
      <c r="O62" s="39">
        <f t="shared" si="56"/>
        <v>255000</v>
      </c>
      <c r="P62" s="39">
        <f t="shared" si="56"/>
        <v>-145220</v>
      </c>
      <c r="Q62" s="39">
        <f t="shared" si="56"/>
        <v>109780</v>
      </c>
    </row>
    <row r="63" spans="1:20" ht="36.75" x14ac:dyDescent="0.25">
      <c r="A63" s="46" t="s">
        <v>23</v>
      </c>
      <c r="B63" s="37" t="s">
        <v>13</v>
      </c>
      <c r="C63" s="34" t="s">
        <v>35</v>
      </c>
      <c r="D63" s="34" t="s">
        <v>43</v>
      </c>
      <c r="E63" s="35">
        <v>240</v>
      </c>
      <c r="F63" s="39">
        <v>255000</v>
      </c>
      <c r="G63" s="39">
        <f>470000+50000</f>
        <v>520000</v>
      </c>
      <c r="H63" s="39">
        <v>530000</v>
      </c>
      <c r="I63" s="39">
        <f>+J63-F63</f>
        <v>0</v>
      </c>
      <c r="J63" s="39">
        <v>255000</v>
      </c>
      <c r="K63" s="39"/>
      <c r="L63" s="39">
        <v>255000</v>
      </c>
      <c r="M63" s="39"/>
      <c r="N63" s="39"/>
      <c r="O63" s="39">
        <v>255000</v>
      </c>
      <c r="P63" s="39">
        <f>-95020-50200</f>
        <v>-145220</v>
      </c>
      <c r="Q63" s="39">
        <f>O63+P63</f>
        <v>109780</v>
      </c>
    </row>
    <row r="64" spans="1:20" x14ac:dyDescent="0.25">
      <c r="A64" s="50" t="s">
        <v>45</v>
      </c>
      <c r="B64" s="33" t="s">
        <v>13</v>
      </c>
      <c r="C64" s="29" t="s">
        <v>46</v>
      </c>
      <c r="D64" s="34"/>
      <c r="E64" s="35"/>
      <c r="F64" s="26">
        <f>F65</f>
        <v>950000</v>
      </c>
      <c r="G64" s="26">
        <f t="shared" ref="G64:Q67" si="57">G65</f>
        <v>950000</v>
      </c>
      <c r="H64" s="26">
        <f t="shared" si="57"/>
        <v>950000</v>
      </c>
      <c r="I64" s="26">
        <f t="shared" si="57"/>
        <v>-64809</v>
      </c>
      <c r="J64" s="26">
        <f t="shared" si="57"/>
        <v>885191</v>
      </c>
      <c r="K64" s="26">
        <f t="shared" si="57"/>
        <v>-147736</v>
      </c>
      <c r="L64" s="26">
        <f t="shared" si="57"/>
        <v>737455</v>
      </c>
      <c r="M64" s="26"/>
      <c r="N64" s="26">
        <f t="shared" si="57"/>
        <v>-514034.64</v>
      </c>
      <c r="O64" s="26">
        <f t="shared" si="57"/>
        <v>223420.36</v>
      </c>
      <c r="P64" s="26">
        <f t="shared" si="57"/>
        <v>-63872</v>
      </c>
      <c r="Q64" s="26">
        <f t="shared" si="57"/>
        <v>159548.35999999999</v>
      </c>
      <c r="R64" s="172">
        <f>Q64-O64</f>
        <v>-63872</v>
      </c>
      <c r="T64" s="9">
        <f>Q64</f>
        <v>159548.35999999999</v>
      </c>
    </row>
    <row r="65" spans="1:21" ht="36.75" x14ac:dyDescent="0.25">
      <c r="A65" s="51" t="s">
        <v>47</v>
      </c>
      <c r="B65" s="37" t="s">
        <v>13</v>
      </c>
      <c r="C65" s="34" t="s">
        <v>46</v>
      </c>
      <c r="D65" s="52" t="s">
        <v>48</v>
      </c>
      <c r="E65" s="35"/>
      <c r="F65" s="53">
        <f>F66</f>
        <v>950000</v>
      </c>
      <c r="G65" s="53">
        <f t="shared" si="57"/>
        <v>950000</v>
      </c>
      <c r="H65" s="53">
        <f t="shared" si="57"/>
        <v>950000</v>
      </c>
      <c r="I65" s="53">
        <f t="shared" si="57"/>
        <v>-64809</v>
      </c>
      <c r="J65" s="53">
        <f t="shared" si="57"/>
        <v>885191</v>
      </c>
      <c r="K65" s="53">
        <f t="shared" si="57"/>
        <v>-147736</v>
      </c>
      <c r="L65" s="53">
        <f t="shared" si="57"/>
        <v>737455</v>
      </c>
      <c r="M65" s="53"/>
      <c r="N65" s="53">
        <f t="shared" si="57"/>
        <v>-514034.64</v>
      </c>
      <c r="O65" s="53">
        <f t="shared" si="57"/>
        <v>223420.36</v>
      </c>
      <c r="P65" s="53">
        <f t="shared" si="57"/>
        <v>-63872</v>
      </c>
      <c r="Q65" s="53">
        <f t="shared" si="57"/>
        <v>159548.35999999999</v>
      </c>
    </row>
    <row r="66" spans="1:21" x14ac:dyDescent="0.25">
      <c r="A66" s="36" t="s">
        <v>49</v>
      </c>
      <c r="B66" s="37" t="s">
        <v>13</v>
      </c>
      <c r="C66" s="34" t="s">
        <v>46</v>
      </c>
      <c r="D66" s="34" t="s">
        <v>50</v>
      </c>
      <c r="E66" s="35"/>
      <c r="F66" s="39">
        <f>F67</f>
        <v>950000</v>
      </c>
      <c r="G66" s="39">
        <f t="shared" si="57"/>
        <v>950000</v>
      </c>
      <c r="H66" s="39">
        <f t="shared" si="57"/>
        <v>950000</v>
      </c>
      <c r="I66" s="39">
        <f t="shared" si="57"/>
        <v>-64809</v>
      </c>
      <c r="J66" s="39">
        <f t="shared" si="57"/>
        <v>885191</v>
      </c>
      <c r="K66" s="39">
        <f t="shared" si="57"/>
        <v>-147736</v>
      </c>
      <c r="L66" s="39">
        <f t="shared" si="57"/>
        <v>737455</v>
      </c>
      <c r="M66" s="39"/>
      <c r="N66" s="39">
        <f t="shared" si="57"/>
        <v>-514034.64</v>
      </c>
      <c r="O66" s="39">
        <f t="shared" si="57"/>
        <v>223420.36</v>
      </c>
      <c r="P66" s="39">
        <f t="shared" si="57"/>
        <v>-63872</v>
      </c>
      <c r="Q66" s="39">
        <f t="shared" si="57"/>
        <v>159548.35999999999</v>
      </c>
    </row>
    <row r="67" spans="1:21" x14ac:dyDescent="0.25">
      <c r="A67" s="36" t="s">
        <v>25</v>
      </c>
      <c r="B67" s="37" t="s">
        <v>13</v>
      </c>
      <c r="C67" s="34" t="s">
        <v>46</v>
      </c>
      <c r="D67" s="34" t="s">
        <v>50</v>
      </c>
      <c r="E67" s="35">
        <v>800</v>
      </c>
      <c r="F67" s="39">
        <f>F68</f>
        <v>950000</v>
      </c>
      <c r="G67" s="39">
        <f t="shared" si="57"/>
        <v>950000</v>
      </c>
      <c r="H67" s="39">
        <f t="shared" si="57"/>
        <v>950000</v>
      </c>
      <c r="I67" s="39">
        <f t="shared" si="57"/>
        <v>-64809</v>
      </c>
      <c r="J67" s="39">
        <f t="shared" si="57"/>
        <v>885191</v>
      </c>
      <c r="K67" s="39">
        <f t="shared" si="57"/>
        <v>-147736</v>
      </c>
      <c r="L67" s="39">
        <f t="shared" si="57"/>
        <v>737455</v>
      </c>
      <c r="M67" s="39"/>
      <c r="N67" s="39">
        <f t="shared" si="57"/>
        <v>-514034.64</v>
      </c>
      <c r="O67" s="39">
        <f t="shared" si="57"/>
        <v>223420.36</v>
      </c>
      <c r="P67" s="39">
        <f t="shared" si="57"/>
        <v>-63872</v>
      </c>
      <c r="Q67" s="39">
        <f t="shared" si="57"/>
        <v>159548.35999999999</v>
      </c>
      <c r="R67" s="173"/>
    </row>
    <row r="68" spans="1:21" x14ac:dyDescent="0.25">
      <c r="A68" s="36" t="s">
        <v>51</v>
      </c>
      <c r="B68" s="37" t="s">
        <v>13</v>
      </c>
      <c r="C68" s="34" t="s">
        <v>46</v>
      </c>
      <c r="D68" s="34" t="s">
        <v>50</v>
      </c>
      <c r="E68" s="35">
        <v>870</v>
      </c>
      <c r="F68" s="39">
        <v>950000</v>
      </c>
      <c r="G68" s="39">
        <v>950000</v>
      </c>
      <c r="H68" s="39">
        <v>950000</v>
      </c>
      <c r="I68" s="39">
        <f>+J68-F68</f>
        <v>-64809</v>
      </c>
      <c r="J68" s="39">
        <f>935191-50000</f>
        <v>885191</v>
      </c>
      <c r="K68" s="39">
        <f>-147736</f>
        <v>-147736</v>
      </c>
      <c r="L68" s="39">
        <f>K67+J68</f>
        <v>737455</v>
      </c>
      <c r="M68" s="115"/>
      <c r="N68" s="39">
        <f>-147038-68371.64-250000-48625</f>
        <v>-514034.64</v>
      </c>
      <c r="O68" s="39">
        <f>L68+N68</f>
        <v>223420.36</v>
      </c>
      <c r="P68" s="39">
        <f>-63872</f>
        <v>-63872</v>
      </c>
      <c r="Q68" s="39">
        <f>O68+P68</f>
        <v>159548.35999999999</v>
      </c>
      <c r="R68" s="173"/>
    </row>
    <row r="69" spans="1:21" x14ac:dyDescent="0.25">
      <c r="A69" s="32" t="s">
        <v>52</v>
      </c>
      <c r="B69" s="33" t="s">
        <v>13</v>
      </c>
      <c r="C69" s="29" t="s">
        <v>30</v>
      </c>
      <c r="D69" s="34"/>
      <c r="E69" s="35"/>
      <c r="F69" s="26">
        <f>F70+F80+F84+F88+F92+F101+F109</f>
        <v>12436977.699999999</v>
      </c>
      <c r="G69" s="26">
        <f>G70+G80+G84+G88+G92+G101+G109</f>
        <v>11558040</v>
      </c>
      <c r="H69" s="26">
        <f>H70+H80+H84+H88+H92+H101+H109</f>
        <v>11610005</v>
      </c>
      <c r="I69" s="26">
        <f>I70+I80+I84+I88+I92+I101+I109+I117</f>
        <v>-37861</v>
      </c>
      <c r="J69" s="26">
        <f>J70+J80+J84+J88+J92+J101+J109+J117</f>
        <v>12399116.5</v>
      </c>
      <c r="K69" s="26">
        <f>K70+K80+K84+K88+K92+K101+K109+K117</f>
        <v>200000</v>
      </c>
      <c r="L69" s="26">
        <f>L70+L80+L84+L88+L92+L101+L109+L117</f>
        <v>12599116.5</v>
      </c>
      <c r="M69" s="26"/>
      <c r="N69" s="26">
        <f>N70+N80+N84+N88+N92+N101+N109+N117</f>
        <v>756914.53</v>
      </c>
      <c r="O69" s="26">
        <f>O70+O80+O84+O88+O92+O101+O109+O117</f>
        <v>13356031.029999999</v>
      </c>
      <c r="P69" s="26">
        <f>P70+P80+P84+P88+P92+P101+P109+P117</f>
        <v>-1161392.53</v>
      </c>
      <c r="Q69" s="26">
        <f>Q70+Q80+Q84+Q88+Q92+Q101+Q109+Q117</f>
        <v>12194638.5</v>
      </c>
      <c r="R69" s="172">
        <f>Q69-O69</f>
        <v>-1161392.5299999993</v>
      </c>
      <c r="S69" s="9"/>
      <c r="T69" s="9"/>
    </row>
    <row r="70" spans="1:21" ht="36.75" x14ac:dyDescent="0.25">
      <c r="A70" s="51" t="s">
        <v>47</v>
      </c>
      <c r="B70" s="37" t="s">
        <v>13</v>
      </c>
      <c r="C70" s="34" t="s">
        <v>30</v>
      </c>
      <c r="D70" s="52" t="s">
        <v>48</v>
      </c>
      <c r="E70" s="54"/>
      <c r="F70" s="53">
        <f>F71+F77</f>
        <v>2434000</v>
      </c>
      <c r="G70" s="53">
        <f>G71+G77</f>
        <v>2754642</v>
      </c>
      <c r="H70" s="53">
        <f>H71+H77</f>
        <v>2774607</v>
      </c>
      <c r="I70" s="53">
        <f t="shared" ref="I70:J70" si="58">I71+I77</f>
        <v>0</v>
      </c>
      <c r="J70" s="53">
        <f t="shared" si="58"/>
        <v>2434000</v>
      </c>
      <c r="K70" s="53">
        <f t="shared" ref="K70:L70" si="59">K71+K77</f>
        <v>0</v>
      </c>
      <c r="L70" s="53">
        <f t="shared" si="59"/>
        <v>2434000</v>
      </c>
      <c r="M70" s="53"/>
      <c r="N70" s="53">
        <f t="shared" ref="N70" si="60">N71+N77</f>
        <v>161914.53</v>
      </c>
      <c r="O70" s="53">
        <f>O71+O77</f>
        <v>2595914.5299999998</v>
      </c>
      <c r="P70" s="53">
        <f t="shared" ref="P70" si="61">P71+P77</f>
        <v>-211450</v>
      </c>
      <c r="Q70" s="53">
        <f>Q71+Q77</f>
        <v>2384464.5299999998</v>
      </c>
      <c r="T70" s="9">
        <f>Q70</f>
        <v>2384464.5299999998</v>
      </c>
    </row>
    <row r="71" spans="1:21" ht="24.75" x14ac:dyDescent="0.25">
      <c r="A71" s="49" t="s">
        <v>53</v>
      </c>
      <c r="B71" s="37" t="s">
        <v>13</v>
      </c>
      <c r="C71" s="34" t="s">
        <v>30</v>
      </c>
      <c r="D71" s="34" t="s">
        <v>54</v>
      </c>
      <c r="E71" s="35"/>
      <c r="F71" s="53">
        <f>F75+F73</f>
        <v>330000</v>
      </c>
      <c r="G71" s="53">
        <f>G75</f>
        <v>434642</v>
      </c>
      <c r="H71" s="53">
        <f>H75</f>
        <v>454607</v>
      </c>
      <c r="I71" s="53">
        <f>I75+I73</f>
        <v>0</v>
      </c>
      <c r="J71" s="53">
        <f>J75+J73</f>
        <v>330000</v>
      </c>
      <c r="K71" s="53">
        <f>K75+K73+K74</f>
        <v>0</v>
      </c>
      <c r="L71" s="53">
        <f>L75+L73+L74</f>
        <v>330000</v>
      </c>
      <c r="M71" s="53"/>
      <c r="N71" s="53">
        <f>N75+N73+N74</f>
        <v>0</v>
      </c>
      <c r="O71" s="53">
        <f>O75+O73+O74</f>
        <v>330000</v>
      </c>
      <c r="P71" s="53">
        <f>P75+P73+P74</f>
        <v>-211450</v>
      </c>
      <c r="Q71" s="53">
        <f>Q75+Q73+Q74</f>
        <v>118550</v>
      </c>
    </row>
    <row r="72" spans="1:21" ht="60.75" x14ac:dyDescent="0.25">
      <c r="A72" s="46" t="s">
        <v>19</v>
      </c>
      <c r="B72" s="37" t="s">
        <v>13</v>
      </c>
      <c r="C72" s="34" t="s">
        <v>30</v>
      </c>
      <c r="D72" s="34" t="s">
        <v>54</v>
      </c>
      <c r="E72" s="35">
        <v>100</v>
      </c>
      <c r="F72" s="53"/>
      <c r="G72" s="53"/>
      <c r="H72" s="53"/>
      <c r="I72" s="53">
        <f>+I73</f>
        <v>320000</v>
      </c>
      <c r="J72" s="53">
        <f>+J73+J74</f>
        <v>320000</v>
      </c>
      <c r="K72" s="53">
        <f>+K73+K74</f>
        <v>0</v>
      </c>
      <c r="L72" s="53">
        <f>+L73+L74</f>
        <v>320000</v>
      </c>
      <c r="M72" s="189"/>
      <c r="N72" s="53">
        <f>+N73+N74</f>
        <v>0</v>
      </c>
      <c r="O72" s="53">
        <f>+O73+O74</f>
        <v>320000</v>
      </c>
      <c r="P72" s="53">
        <f>+P73+P74</f>
        <v>-211450</v>
      </c>
      <c r="Q72" s="53">
        <f>+Q73+Q74</f>
        <v>108550</v>
      </c>
    </row>
    <row r="73" spans="1:21" ht="24.75" hidden="1" x14ac:dyDescent="0.25">
      <c r="A73" s="36" t="s">
        <v>96</v>
      </c>
      <c r="B73" s="37" t="s">
        <v>13</v>
      </c>
      <c r="C73" s="34" t="s">
        <v>30</v>
      </c>
      <c r="D73" s="34" t="s">
        <v>54</v>
      </c>
      <c r="E73" s="35">
        <v>110</v>
      </c>
      <c r="F73" s="53"/>
      <c r="G73" s="53"/>
      <c r="H73" s="53"/>
      <c r="I73" s="53">
        <f>330000-10000</f>
        <v>320000</v>
      </c>
      <c r="J73" s="53">
        <f>+F73+I73</f>
        <v>320000</v>
      </c>
      <c r="K73" s="53">
        <v>-320000</v>
      </c>
      <c r="L73" s="53">
        <f>J73+K73</f>
        <v>0</v>
      </c>
      <c r="M73" s="189"/>
      <c r="N73" s="53"/>
      <c r="O73" s="53">
        <f>M73+N73</f>
        <v>0</v>
      </c>
      <c r="P73" s="53"/>
      <c r="Q73" s="53">
        <f>O73+P73</f>
        <v>0</v>
      </c>
    </row>
    <row r="74" spans="1:21" ht="24.75" x14ac:dyDescent="0.25">
      <c r="A74" s="123" t="s">
        <v>21</v>
      </c>
      <c r="B74" s="37" t="s">
        <v>13</v>
      </c>
      <c r="C74" s="34" t="s">
        <v>30</v>
      </c>
      <c r="D74" s="34" t="s">
        <v>54</v>
      </c>
      <c r="E74" s="35">
        <v>120</v>
      </c>
      <c r="F74" s="53"/>
      <c r="G74" s="53"/>
      <c r="H74" s="53"/>
      <c r="I74" s="53"/>
      <c r="J74" s="53"/>
      <c r="K74" s="53">
        <v>320000</v>
      </c>
      <c r="L74" s="53">
        <f>J74+K74</f>
        <v>320000</v>
      </c>
      <c r="M74" s="189"/>
      <c r="N74" s="53"/>
      <c r="O74" s="53">
        <f>L74+N74</f>
        <v>320000</v>
      </c>
      <c r="P74" s="53">
        <f>-213029-231+1810</f>
        <v>-211450</v>
      </c>
      <c r="Q74" s="183">
        <f>O74+P74</f>
        <v>108550</v>
      </c>
      <c r="R74" s="144"/>
    </row>
    <row r="75" spans="1:21" ht="24.75" x14ac:dyDescent="0.25">
      <c r="A75" s="41" t="s">
        <v>44</v>
      </c>
      <c r="B75" s="37" t="s">
        <v>13</v>
      </c>
      <c r="C75" s="34" t="s">
        <v>30</v>
      </c>
      <c r="D75" s="34" t="s">
        <v>54</v>
      </c>
      <c r="E75" s="35">
        <v>200</v>
      </c>
      <c r="F75" s="53">
        <f t="shared" ref="F75:Q75" si="62">F76</f>
        <v>330000</v>
      </c>
      <c r="G75" s="53">
        <f t="shared" si="62"/>
        <v>434642</v>
      </c>
      <c r="H75" s="53">
        <f t="shared" si="62"/>
        <v>454607</v>
      </c>
      <c r="I75" s="53">
        <f t="shared" si="62"/>
        <v>-320000</v>
      </c>
      <c r="J75" s="53">
        <f t="shared" si="62"/>
        <v>10000</v>
      </c>
      <c r="K75" s="53">
        <f t="shared" si="62"/>
        <v>0</v>
      </c>
      <c r="L75" s="53">
        <f t="shared" si="62"/>
        <v>10000</v>
      </c>
      <c r="M75" s="189"/>
      <c r="N75" s="53">
        <f t="shared" si="62"/>
        <v>0</v>
      </c>
      <c r="O75" s="53">
        <f t="shared" si="62"/>
        <v>10000</v>
      </c>
      <c r="P75" s="53">
        <f t="shared" si="62"/>
        <v>0</v>
      </c>
      <c r="Q75" s="53">
        <f t="shared" si="62"/>
        <v>10000</v>
      </c>
    </row>
    <row r="76" spans="1:21" ht="36.75" x14ac:dyDescent="0.25">
      <c r="A76" s="46" t="s">
        <v>23</v>
      </c>
      <c r="B76" s="37" t="s">
        <v>13</v>
      </c>
      <c r="C76" s="34" t="s">
        <v>30</v>
      </c>
      <c r="D76" s="34" t="s">
        <v>54</v>
      </c>
      <c r="E76" s="35">
        <v>240</v>
      </c>
      <c r="F76" s="53">
        <v>330000</v>
      </c>
      <c r="G76" s="53">
        <v>434642</v>
      </c>
      <c r="H76" s="53">
        <f>454625-18</f>
        <v>454607</v>
      </c>
      <c r="I76" s="39">
        <f>-330000+10000</f>
        <v>-320000</v>
      </c>
      <c r="J76" s="53">
        <f>+F76+I76</f>
        <v>10000</v>
      </c>
      <c r="K76" s="39"/>
      <c r="L76" s="53">
        <f>J76+K76</f>
        <v>10000</v>
      </c>
      <c r="M76" s="189"/>
      <c r="N76" s="39"/>
      <c r="O76" s="53">
        <f>L76+N76</f>
        <v>10000</v>
      </c>
      <c r="P76" s="39"/>
      <c r="Q76" s="53">
        <f>O76+P76</f>
        <v>10000</v>
      </c>
    </row>
    <row r="77" spans="1:21" ht="24.75" x14ac:dyDescent="0.25">
      <c r="A77" s="56" t="s">
        <v>55</v>
      </c>
      <c r="B77" s="37" t="s">
        <v>13</v>
      </c>
      <c r="C77" s="34" t="s">
        <v>30</v>
      </c>
      <c r="D77" s="34" t="s">
        <v>56</v>
      </c>
      <c r="E77" s="35"/>
      <c r="F77" s="53">
        <f t="shared" ref="F77:Q78" si="63">F78</f>
        <v>2104000</v>
      </c>
      <c r="G77" s="53">
        <f t="shared" si="63"/>
        <v>2320000</v>
      </c>
      <c r="H77" s="53">
        <f t="shared" si="63"/>
        <v>2320000</v>
      </c>
      <c r="I77" s="53">
        <f t="shared" si="63"/>
        <v>0</v>
      </c>
      <c r="J77" s="53">
        <f t="shared" si="63"/>
        <v>2104000</v>
      </c>
      <c r="K77" s="53">
        <f t="shared" si="63"/>
        <v>0</v>
      </c>
      <c r="L77" s="53">
        <f t="shared" si="63"/>
        <v>2104000</v>
      </c>
      <c r="M77" s="53"/>
      <c r="N77" s="53">
        <f t="shared" si="63"/>
        <v>161914.53</v>
      </c>
      <c r="O77" s="53">
        <f t="shared" si="63"/>
        <v>2265914.5299999998</v>
      </c>
      <c r="P77" s="53">
        <f t="shared" si="63"/>
        <v>0</v>
      </c>
      <c r="Q77" s="53">
        <f t="shared" si="63"/>
        <v>2265914.5299999998</v>
      </c>
    </row>
    <row r="78" spans="1:21" x14ac:dyDescent="0.25">
      <c r="A78" s="47" t="s">
        <v>25</v>
      </c>
      <c r="B78" s="37" t="s">
        <v>13</v>
      </c>
      <c r="C78" s="34" t="s">
        <v>30</v>
      </c>
      <c r="D78" s="34" t="s">
        <v>56</v>
      </c>
      <c r="E78" s="35">
        <v>800</v>
      </c>
      <c r="F78" s="53">
        <f t="shared" si="63"/>
        <v>2104000</v>
      </c>
      <c r="G78" s="53">
        <f t="shared" si="63"/>
        <v>2320000</v>
      </c>
      <c r="H78" s="53">
        <f t="shared" si="63"/>
        <v>2320000</v>
      </c>
      <c r="I78" s="53">
        <f t="shared" si="63"/>
        <v>0</v>
      </c>
      <c r="J78" s="53">
        <f t="shared" si="63"/>
        <v>2104000</v>
      </c>
      <c r="K78" s="53">
        <f t="shared" si="63"/>
        <v>0</v>
      </c>
      <c r="L78" s="53">
        <f t="shared" si="63"/>
        <v>2104000</v>
      </c>
      <c r="M78" s="53"/>
      <c r="N78" s="53">
        <f t="shared" si="63"/>
        <v>161914.53</v>
      </c>
      <c r="O78" s="53">
        <f t="shared" si="63"/>
        <v>2265914.5299999998</v>
      </c>
      <c r="P78" s="53">
        <f t="shared" si="63"/>
        <v>0</v>
      </c>
      <c r="Q78" s="53">
        <f t="shared" si="63"/>
        <v>2265914.5299999998</v>
      </c>
    </row>
    <row r="79" spans="1:21" ht="36.75" x14ac:dyDescent="0.25">
      <c r="A79" s="47" t="s">
        <v>57</v>
      </c>
      <c r="B79" s="37" t="s">
        <v>13</v>
      </c>
      <c r="C79" s="34" t="s">
        <v>30</v>
      </c>
      <c r="D79" s="34" t="s">
        <v>56</v>
      </c>
      <c r="E79" s="35">
        <v>810</v>
      </c>
      <c r="F79" s="53">
        <v>2104000</v>
      </c>
      <c r="G79" s="53">
        <v>2320000</v>
      </c>
      <c r="H79" s="53">
        <v>2320000</v>
      </c>
      <c r="I79" s="39">
        <f>+J79-F79</f>
        <v>0</v>
      </c>
      <c r="J79" s="53">
        <v>2104000</v>
      </c>
      <c r="K79" s="39"/>
      <c r="L79" s="53">
        <v>2104000</v>
      </c>
      <c r="M79" s="53"/>
      <c r="N79" s="39">
        <v>161914.53</v>
      </c>
      <c r="O79" s="53">
        <f>L79+N79</f>
        <v>2265914.5299999998</v>
      </c>
      <c r="P79" s="39"/>
      <c r="Q79" s="53">
        <f>O79+P79</f>
        <v>2265914.5299999998</v>
      </c>
      <c r="R79" s="173"/>
    </row>
    <row r="80" spans="1:21" ht="36.75" x14ac:dyDescent="0.25">
      <c r="A80" s="127" t="s">
        <v>58</v>
      </c>
      <c r="B80" s="37" t="s">
        <v>13</v>
      </c>
      <c r="C80" s="34" t="s">
        <v>30</v>
      </c>
      <c r="D80" s="34" t="s">
        <v>59</v>
      </c>
      <c r="E80" s="35"/>
      <c r="F80" s="39">
        <f>F81</f>
        <v>30600</v>
      </c>
      <c r="G80" s="39">
        <f t="shared" ref="G80:Q82" si="64">G81</f>
        <v>32000</v>
      </c>
      <c r="H80" s="39">
        <f t="shared" si="64"/>
        <v>32000</v>
      </c>
      <c r="I80" s="39">
        <f t="shared" si="64"/>
        <v>0</v>
      </c>
      <c r="J80" s="39">
        <f t="shared" si="64"/>
        <v>30600</v>
      </c>
      <c r="K80" s="39">
        <f t="shared" si="64"/>
        <v>0</v>
      </c>
      <c r="L80" s="39">
        <f t="shared" si="64"/>
        <v>30600</v>
      </c>
      <c r="M80" s="39"/>
      <c r="N80" s="39">
        <f t="shared" si="64"/>
        <v>0</v>
      </c>
      <c r="O80" s="39">
        <f t="shared" si="64"/>
        <v>30600</v>
      </c>
      <c r="P80" s="39">
        <f t="shared" si="64"/>
        <v>-16661.560000000001</v>
      </c>
      <c r="Q80" s="39">
        <f t="shared" si="64"/>
        <v>13938.439999999999</v>
      </c>
      <c r="R80" s="144"/>
      <c r="U80" s="9">
        <f>Q80</f>
        <v>13938.439999999999</v>
      </c>
    </row>
    <row r="81" spans="1:28" ht="24.75" x14ac:dyDescent="0.25">
      <c r="A81" s="57" t="s">
        <v>60</v>
      </c>
      <c r="B81" s="37" t="s">
        <v>13</v>
      </c>
      <c r="C81" s="34" t="s">
        <v>30</v>
      </c>
      <c r="D81" s="34" t="s">
        <v>61</v>
      </c>
      <c r="E81" s="35"/>
      <c r="F81" s="39">
        <f>F82</f>
        <v>30600</v>
      </c>
      <c r="G81" s="39">
        <f t="shared" si="64"/>
        <v>32000</v>
      </c>
      <c r="H81" s="39">
        <f t="shared" si="64"/>
        <v>32000</v>
      </c>
      <c r="I81" s="39">
        <f t="shared" si="64"/>
        <v>0</v>
      </c>
      <c r="J81" s="39">
        <f t="shared" si="64"/>
        <v>30600</v>
      </c>
      <c r="K81" s="39">
        <f t="shared" si="64"/>
        <v>0</v>
      </c>
      <c r="L81" s="39">
        <f t="shared" si="64"/>
        <v>30600</v>
      </c>
      <c r="M81" s="39"/>
      <c r="N81" s="39">
        <f t="shared" si="64"/>
        <v>0</v>
      </c>
      <c r="O81" s="39">
        <f t="shared" si="64"/>
        <v>30600</v>
      </c>
      <c r="P81" s="39">
        <f t="shared" si="64"/>
        <v>-16661.560000000001</v>
      </c>
      <c r="Q81" s="39">
        <f t="shared" si="64"/>
        <v>13938.439999999999</v>
      </c>
    </row>
    <row r="82" spans="1:28" ht="24.75" x14ac:dyDescent="0.25">
      <c r="A82" s="41" t="s">
        <v>44</v>
      </c>
      <c r="B82" s="37" t="s">
        <v>13</v>
      </c>
      <c r="C82" s="34" t="s">
        <v>30</v>
      </c>
      <c r="D82" s="34" t="s">
        <v>61</v>
      </c>
      <c r="E82" s="35">
        <v>200</v>
      </c>
      <c r="F82" s="39">
        <f>F83</f>
        <v>30600</v>
      </c>
      <c r="G82" s="39">
        <f t="shared" si="64"/>
        <v>32000</v>
      </c>
      <c r="H82" s="39">
        <f t="shared" si="64"/>
        <v>32000</v>
      </c>
      <c r="I82" s="39">
        <f t="shared" si="64"/>
        <v>0</v>
      </c>
      <c r="J82" s="39">
        <f t="shared" si="64"/>
        <v>30600</v>
      </c>
      <c r="K82" s="39">
        <f t="shared" si="64"/>
        <v>0</v>
      </c>
      <c r="L82" s="39">
        <f t="shared" si="64"/>
        <v>30600</v>
      </c>
      <c r="M82" s="39"/>
      <c r="N82" s="39">
        <f t="shared" si="64"/>
        <v>0</v>
      </c>
      <c r="O82" s="39">
        <f t="shared" si="64"/>
        <v>30600</v>
      </c>
      <c r="P82" s="39">
        <f t="shared" si="64"/>
        <v>-16661.560000000001</v>
      </c>
      <c r="Q82" s="39">
        <f t="shared" si="64"/>
        <v>13938.439999999999</v>
      </c>
    </row>
    <row r="83" spans="1:28" ht="36.75" x14ac:dyDescent="0.25">
      <c r="A83" s="46" t="s">
        <v>23</v>
      </c>
      <c r="B83" s="37" t="s">
        <v>13</v>
      </c>
      <c r="C83" s="34" t="s">
        <v>30</v>
      </c>
      <c r="D83" s="34" t="s">
        <v>61</v>
      </c>
      <c r="E83" s="35">
        <v>240</v>
      </c>
      <c r="F83" s="39">
        <v>30600</v>
      </c>
      <c r="G83" s="39">
        <v>32000</v>
      </c>
      <c r="H83" s="39">
        <v>32000</v>
      </c>
      <c r="I83" s="39">
        <f>+J83-F83</f>
        <v>0</v>
      </c>
      <c r="J83" s="39">
        <v>30600</v>
      </c>
      <c r="K83" s="39"/>
      <c r="L83" s="39">
        <v>30600</v>
      </c>
      <c r="M83" s="39"/>
      <c r="N83" s="39"/>
      <c r="O83" s="39">
        <v>30600</v>
      </c>
      <c r="P83" s="39">
        <v>-16661.560000000001</v>
      </c>
      <c r="Q83" s="39">
        <f>O83+P83</f>
        <v>13938.439999999999</v>
      </c>
    </row>
    <row r="84" spans="1:28" ht="60" x14ac:dyDescent="0.25">
      <c r="A84" s="128" t="s">
        <v>62</v>
      </c>
      <c r="B84" s="37" t="s">
        <v>13</v>
      </c>
      <c r="C84" s="34" t="s">
        <v>30</v>
      </c>
      <c r="D84" s="34" t="s">
        <v>63</v>
      </c>
      <c r="E84" s="35"/>
      <c r="F84" s="39">
        <f>F85</f>
        <v>92150</v>
      </c>
      <c r="G84" s="39">
        <f t="shared" ref="G84:Q86" si="65">G85</f>
        <v>92000</v>
      </c>
      <c r="H84" s="39">
        <f t="shared" si="65"/>
        <v>92000</v>
      </c>
      <c r="I84" s="39">
        <f t="shared" si="65"/>
        <v>0</v>
      </c>
      <c r="J84" s="39">
        <f t="shared" si="65"/>
        <v>92150</v>
      </c>
      <c r="K84" s="39">
        <f t="shared" si="65"/>
        <v>0</v>
      </c>
      <c r="L84" s="39">
        <f t="shared" si="65"/>
        <v>92150</v>
      </c>
      <c r="M84" s="39"/>
      <c r="N84" s="39">
        <f t="shared" si="65"/>
        <v>0</v>
      </c>
      <c r="O84" s="39">
        <f t="shared" si="65"/>
        <v>92150</v>
      </c>
      <c r="P84" s="39">
        <f t="shared" si="65"/>
        <v>-47.17</v>
      </c>
      <c r="Q84" s="39">
        <f t="shared" si="65"/>
        <v>92102.83</v>
      </c>
      <c r="S84" s="9"/>
      <c r="V84" s="9">
        <f>Q84</f>
        <v>92102.83</v>
      </c>
    </row>
    <row r="85" spans="1:28" ht="24.75" x14ac:dyDescent="0.25">
      <c r="A85" s="58" t="s">
        <v>64</v>
      </c>
      <c r="B85" s="37" t="s">
        <v>13</v>
      </c>
      <c r="C85" s="34" t="s">
        <v>30</v>
      </c>
      <c r="D85" s="34" t="s">
        <v>65</v>
      </c>
      <c r="E85" s="35"/>
      <c r="F85" s="39">
        <f>F86</f>
        <v>92150</v>
      </c>
      <c r="G85" s="39">
        <f t="shared" si="65"/>
        <v>92000</v>
      </c>
      <c r="H85" s="39">
        <f t="shared" si="65"/>
        <v>92000</v>
      </c>
      <c r="I85" s="39">
        <f t="shared" si="65"/>
        <v>0</v>
      </c>
      <c r="J85" s="39">
        <f t="shared" si="65"/>
        <v>92150</v>
      </c>
      <c r="K85" s="39">
        <f t="shared" si="65"/>
        <v>0</v>
      </c>
      <c r="L85" s="39">
        <f t="shared" si="65"/>
        <v>92150</v>
      </c>
      <c r="M85" s="39"/>
      <c r="N85" s="39">
        <f t="shared" si="65"/>
        <v>0</v>
      </c>
      <c r="O85" s="39">
        <f t="shared" si="65"/>
        <v>92150</v>
      </c>
      <c r="P85" s="39">
        <f t="shared" si="65"/>
        <v>-47.17</v>
      </c>
      <c r="Q85" s="39">
        <f t="shared" si="65"/>
        <v>92102.83</v>
      </c>
    </row>
    <row r="86" spans="1:28" ht="24.75" x14ac:dyDescent="0.25">
      <c r="A86" s="46" t="s">
        <v>44</v>
      </c>
      <c r="B86" s="37" t="s">
        <v>13</v>
      </c>
      <c r="C86" s="34" t="s">
        <v>30</v>
      </c>
      <c r="D86" s="34" t="s">
        <v>65</v>
      </c>
      <c r="E86" s="35">
        <v>200</v>
      </c>
      <c r="F86" s="39">
        <f>F87</f>
        <v>92150</v>
      </c>
      <c r="G86" s="39">
        <f t="shared" si="65"/>
        <v>92000</v>
      </c>
      <c r="H86" s="39">
        <f t="shared" si="65"/>
        <v>92000</v>
      </c>
      <c r="I86" s="39">
        <f t="shared" si="65"/>
        <v>0</v>
      </c>
      <c r="J86" s="39">
        <f t="shared" si="65"/>
        <v>92150</v>
      </c>
      <c r="K86" s="39">
        <f t="shared" si="65"/>
        <v>0</v>
      </c>
      <c r="L86" s="39">
        <f t="shared" si="65"/>
        <v>92150</v>
      </c>
      <c r="M86" s="39"/>
      <c r="N86" s="39">
        <f t="shared" si="65"/>
        <v>0</v>
      </c>
      <c r="O86" s="39">
        <f t="shared" si="65"/>
        <v>92150</v>
      </c>
      <c r="P86" s="39">
        <f t="shared" si="65"/>
        <v>-47.17</v>
      </c>
      <c r="Q86" s="39">
        <f t="shared" si="65"/>
        <v>92102.83</v>
      </c>
    </row>
    <row r="87" spans="1:28" ht="36.75" x14ac:dyDescent="0.25">
      <c r="A87" s="47" t="s">
        <v>23</v>
      </c>
      <c r="B87" s="37" t="s">
        <v>13</v>
      </c>
      <c r="C87" s="34" t="s">
        <v>30</v>
      </c>
      <c r="D87" s="34" t="s">
        <v>65</v>
      </c>
      <c r="E87" s="35">
        <v>240</v>
      </c>
      <c r="F87" s="39">
        <f>97000*0.95</f>
        <v>92150</v>
      </c>
      <c r="G87" s="39">
        <v>92000</v>
      </c>
      <c r="H87" s="39">
        <v>92000</v>
      </c>
      <c r="I87" s="39">
        <f>+J87-F87</f>
        <v>0</v>
      </c>
      <c r="J87" s="39">
        <v>92150</v>
      </c>
      <c r="K87" s="39"/>
      <c r="L87" s="39">
        <v>92150</v>
      </c>
      <c r="M87" s="39"/>
      <c r="N87" s="39"/>
      <c r="O87" s="39">
        <v>92150</v>
      </c>
      <c r="P87" s="39">
        <v>-47.17</v>
      </c>
      <c r="Q87" s="39">
        <f>O87+P87</f>
        <v>92102.83</v>
      </c>
    </row>
    <row r="88" spans="1:28" ht="48" x14ac:dyDescent="0.25">
      <c r="A88" s="129" t="s">
        <v>66</v>
      </c>
      <c r="B88" s="37" t="s">
        <v>13</v>
      </c>
      <c r="C88" s="34" t="s">
        <v>30</v>
      </c>
      <c r="D88" s="34" t="s">
        <v>67</v>
      </c>
      <c r="E88" s="35"/>
      <c r="F88" s="39">
        <f>F89</f>
        <v>18000</v>
      </c>
      <c r="G88" s="39">
        <f t="shared" ref="G88:Q90" si="66">G89</f>
        <v>124000</v>
      </c>
      <c r="H88" s="39">
        <f t="shared" si="66"/>
        <v>124000</v>
      </c>
      <c r="I88" s="39">
        <f t="shared" si="66"/>
        <v>0</v>
      </c>
      <c r="J88" s="39">
        <f t="shared" si="66"/>
        <v>18000</v>
      </c>
      <c r="K88" s="39">
        <f t="shared" si="66"/>
        <v>0</v>
      </c>
      <c r="L88" s="39">
        <f t="shared" si="66"/>
        <v>18000</v>
      </c>
      <c r="M88" s="39"/>
      <c r="N88" s="39">
        <f t="shared" si="66"/>
        <v>0</v>
      </c>
      <c r="O88" s="39">
        <f t="shared" si="66"/>
        <v>18000</v>
      </c>
      <c r="P88" s="39">
        <f t="shared" si="66"/>
        <v>-54.93</v>
      </c>
      <c r="Q88" s="39">
        <f t="shared" si="66"/>
        <v>17945.07</v>
      </c>
      <c r="T88" s="9"/>
      <c r="W88" s="9">
        <f>Q88</f>
        <v>17945.07</v>
      </c>
    </row>
    <row r="89" spans="1:28" ht="24.75" x14ac:dyDescent="0.25">
      <c r="A89" s="59" t="s">
        <v>68</v>
      </c>
      <c r="B89" s="37" t="s">
        <v>13</v>
      </c>
      <c r="C89" s="34" t="s">
        <v>30</v>
      </c>
      <c r="D89" s="34" t="s">
        <v>69</v>
      </c>
      <c r="E89" s="35"/>
      <c r="F89" s="39">
        <f>F90</f>
        <v>18000</v>
      </c>
      <c r="G89" s="39">
        <f t="shared" si="66"/>
        <v>124000</v>
      </c>
      <c r="H89" s="39">
        <f t="shared" si="66"/>
        <v>124000</v>
      </c>
      <c r="I89" s="39">
        <f t="shared" si="66"/>
        <v>0</v>
      </c>
      <c r="J89" s="39">
        <f t="shared" si="66"/>
        <v>18000</v>
      </c>
      <c r="K89" s="39">
        <f t="shared" si="66"/>
        <v>0</v>
      </c>
      <c r="L89" s="39">
        <f t="shared" si="66"/>
        <v>18000</v>
      </c>
      <c r="M89" s="39"/>
      <c r="N89" s="39">
        <f t="shared" si="66"/>
        <v>0</v>
      </c>
      <c r="O89" s="39">
        <f t="shared" si="66"/>
        <v>18000</v>
      </c>
      <c r="P89" s="39">
        <f t="shared" si="66"/>
        <v>-54.93</v>
      </c>
      <c r="Q89" s="39">
        <f t="shared" si="66"/>
        <v>17945.07</v>
      </c>
    </row>
    <row r="90" spans="1:28" ht="24.75" x14ac:dyDescent="0.25">
      <c r="A90" s="47" t="s">
        <v>44</v>
      </c>
      <c r="B90" s="37" t="s">
        <v>13</v>
      </c>
      <c r="C90" s="34" t="s">
        <v>30</v>
      </c>
      <c r="D90" s="34" t="s">
        <v>69</v>
      </c>
      <c r="E90" s="35">
        <v>200</v>
      </c>
      <c r="F90" s="39">
        <f>F91</f>
        <v>18000</v>
      </c>
      <c r="G90" s="39">
        <f t="shared" si="66"/>
        <v>124000</v>
      </c>
      <c r="H90" s="39">
        <f t="shared" si="66"/>
        <v>124000</v>
      </c>
      <c r="I90" s="39">
        <f t="shared" si="66"/>
        <v>0</v>
      </c>
      <c r="J90" s="39">
        <f t="shared" si="66"/>
        <v>18000</v>
      </c>
      <c r="K90" s="39">
        <f t="shared" si="66"/>
        <v>0</v>
      </c>
      <c r="L90" s="39">
        <f t="shared" si="66"/>
        <v>18000</v>
      </c>
      <c r="M90" s="39"/>
      <c r="N90" s="39">
        <f t="shared" si="66"/>
        <v>0</v>
      </c>
      <c r="O90" s="39">
        <f t="shared" si="66"/>
        <v>18000</v>
      </c>
      <c r="P90" s="39">
        <f t="shared" si="66"/>
        <v>-54.93</v>
      </c>
      <c r="Q90" s="39">
        <f t="shared" si="66"/>
        <v>17945.07</v>
      </c>
    </row>
    <row r="91" spans="1:28" ht="36.75" x14ac:dyDescent="0.25">
      <c r="A91" s="47" t="s">
        <v>23</v>
      </c>
      <c r="B91" s="37" t="s">
        <v>13</v>
      </c>
      <c r="C91" s="34" t="s">
        <v>30</v>
      </c>
      <c r="D91" s="34" t="s">
        <v>69</v>
      </c>
      <c r="E91" s="35">
        <v>240</v>
      </c>
      <c r="F91" s="39">
        <f>118000-100000</f>
        <v>18000</v>
      </c>
      <c r="G91" s="39">
        <v>124000</v>
      </c>
      <c r="H91" s="39">
        <v>124000</v>
      </c>
      <c r="I91" s="39">
        <f>+J91-F91</f>
        <v>0</v>
      </c>
      <c r="J91" s="39">
        <v>18000</v>
      </c>
      <c r="K91" s="39"/>
      <c r="L91" s="39">
        <v>18000</v>
      </c>
      <c r="M91" s="39"/>
      <c r="N91" s="39"/>
      <c r="O91" s="39">
        <v>18000</v>
      </c>
      <c r="P91" s="39">
        <v>-54.93</v>
      </c>
      <c r="Q91" s="39">
        <f>O91+P91</f>
        <v>17945.07</v>
      </c>
    </row>
    <row r="92" spans="1:28" ht="48.75" x14ac:dyDescent="0.25">
      <c r="A92" s="127" t="s">
        <v>70</v>
      </c>
      <c r="B92" s="37" t="s">
        <v>13</v>
      </c>
      <c r="C92" s="34" t="s">
        <v>30</v>
      </c>
      <c r="D92" s="34" t="s">
        <v>71</v>
      </c>
      <c r="E92" s="35"/>
      <c r="F92" s="39">
        <f>+F93+F96</f>
        <v>3099000</v>
      </c>
      <c r="G92" s="39">
        <f>G93</f>
        <v>1750000</v>
      </c>
      <c r="H92" s="39">
        <f>H93</f>
        <v>1750000</v>
      </c>
      <c r="I92" s="39">
        <f t="shared" ref="I92:J92" si="67">+I93+I96</f>
        <v>-100000</v>
      </c>
      <c r="J92" s="39">
        <f t="shared" si="67"/>
        <v>2999000</v>
      </c>
      <c r="K92" s="39">
        <f t="shared" ref="K92:L92" si="68">+K93+K96</f>
        <v>200000</v>
      </c>
      <c r="L92" s="39">
        <f t="shared" si="68"/>
        <v>3199000</v>
      </c>
      <c r="M92" s="39"/>
      <c r="N92" s="39">
        <f t="shared" ref="N92:O92" si="69">+N93+N96</f>
        <v>0</v>
      </c>
      <c r="O92" s="39">
        <f t="shared" si="69"/>
        <v>3199000</v>
      </c>
      <c r="P92" s="39">
        <f t="shared" ref="P92:Q92" si="70">+P93+P96</f>
        <v>-919945.2699999999</v>
      </c>
      <c r="Q92" s="39">
        <f t="shared" si="70"/>
        <v>2279054.73</v>
      </c>
      <c r="U92" s="9"/>
      <c r="X92" s="9">
        <f>Q92</f>
        <v>2279054.73</v>
      </c>
      <c r="AB92" s="9"/>
    </row>
    <row r="93" spans="1:28" x14ac:dyDescent="0.25">
      <c r="A93" s="60" t="s">
        <v>72</v>
      </c>
      <c r="B93" s="37" t="s">
        <v>13</v>
      </c>
      <c r="C93" s="34" t="s">
        <v>30</v>
      </c>
      <c r="D93" s="34" t="s">
        <v>73</v>
      </c>
      <c r="E93" s="34"/>
      <c r="F93" s="39">
        <f>+F94</f>
        <v>800000</v>
      </c>
      <c r="G93" s="39">
        <f>G94+G99</f>
        <v>1750000</v>
      </c>
      <c r="H93" s="39">
        <f>H94+H99</f>
        <v>1750000</v>
      </c>
      <c r="I93" s="39">
        <f t="shared" ref="I93:Q93" si="71">+I94</f>
        <v>0</v>
      </c>
      <c r="J93" s="39">
        <f t="shared" si="71"/>
        <v>800000</v>
      </c>
      <c r="K93" s="39">
        <f t="shared" si="71"/>
        <v>200000</v>
      </c>
      <c r="L93" s="39">
        <f t="shared" si="71"/>
        <v>1000000</v>
      </c>
      <c r="M93" s="39"/>
      <c r="N93" s="39">
        <f t="shared" si="71"/>
        <v>0</v>
      </c>
      <c r="O93" s="39">
        <f t="shared" si="71"/>
        <v>1000000</v>
      </c>
      <c r="P93" s="39">
        <f t="shared" si="71"/>
        <v>-337272</v>
      </c>
      <c r="Q93" s="39">
        <f t="shared" si="71"/>
        <v>662728</v>
      </c>
      <c r="W93" s="9"/>
    </row>
    <row r="94" spans="1:28" ht="24.75" x14ac:dyDescent="0.25">
      <c r="A94" s="47" t="s">
        <v>44</v>
      </c>
      <c r="B94" s="37" t="s">
        <v>13</v>
      </c>
      <c r="C94" s="34" t="s">
        <v>30</v>
      </c>
      <c r="D94" s="34" t="s">
        <v>73</v>
      </c>
      <c r="E94" s="34" t="s">
        <v>74</v>
      </c>
      <c r="F94" s="39">
        <f>F95</f>
        <v>800000</v>
      </c>
      <c r="G94" s="39">
        <f>G95</f>
        <v>200000</v>
      </c>
      <c r="H94" s="39">
        <f>H95</f>
        <v>150000</v>
      </c>
      <c r="I94" s="39">
        <f t="shared" ref="I94:Q94" si="72">I95</f>
        <v>0</v>
      </c>
      <c r="J94" s="39">
        <f t="shared" si="72"/>
        <v>800000</v>
      </c>
      <c r="K94" s="39">
        <f t="shared" si="72"/>
        <v>200000</v>
      </c>
      <c r="L94" s="39">
        <f t="shared" si="72"/>
        <v>1000000</v>
      </c>
      <c r="M94" s="39"/>
      <c r="N94" s="39">
        <f t="shared" si="72"/>
        <v>0</v>
      </c>
      <c r="O94" s="39">
        <f t="shared" si="72"/>
        <v>1000000</v>
      </c>
      <c r="P94" s="39">
        <f t="shared" si="72"/>
        <v>-337272</v>
      </c>
      <c r="Q94" s="39">
        <f t="shared" si="72"/>
        <v>662728</v>
      </c>
    </row>
    <row r="95" spans="1:28" ht="36.75" x14ac:dyDescent="0.25">
      <c r="A95" s="47" t="s">
        <v>23</v>
      </c>
      <c r="B95" s="37" t="s">
        <v>13</v>
      </c>
      <c r="C95" s="34" t="s">
        <v>30</v>
      </c>
      <c r="D95" s="34" t="s">
        <v>73</v>
      </c>
      <c r="E95" s="34" t="s">
        <v>24</v>
      </c>
      <c r="F95" s="39">
        <f>700000+100000</f>
        <v>800000</v>
      </c>
      <c r="G95" s="39">
        <v>200000</v>
      </c>
      <c r="H95" s="39">
        <v>150000</v>
      </c>
      <c r="I95" s="39">
        <f>+J95-F95</f>
        <v>0</v>
      </c>
      <c r="J95" s="39">
        <v>800000</v>
      </c>
      <c r="K95" s="39">
        <v>200000</v>
      </c>
      <c r="L95" s="39">
        <f>+J95+K95</f>
        <v>1000000</v>
      </c>
      <c r="M95" s="39"/>
      <c r="N95" s="39"/>
      <c r="O95" s="39">
        <f>L95+N95</f>
        <v>1000000</v>
      </c>
      <c r="P95" s="39">
        <f>-322272-15000</f>
        <v>-337272</v>
      </c>
      <c r="Q95" s="39">
        <f>O95+P95</f>
        <v>662728</v>
      </c>
    </row>
    <row r="96" spans="1:28" ht="24" x14ac:dyDescent="0.25">
      <c r="A96" s="61" t="s">
        <v>75</v>
      </c>
      <c r="B96" s="37" t="s">
        <v>13</v>
      </c>
      <c r="C96" s="34" t="s">
        <v>30</v>
      </c>
      <c r="D96" s="34" t="s">
        <v>76</v>
      </c>
      <c r="E96" s="34"/>
      <c r="F96" s="39">
        <f>+F97+F99</f>
        <v>2299000</v>
      </c>
      <c r="G96" s="39"/>
      <c r="H96" s="39"/>
      <c r="I96" s="39">
        <f t="shared" ref="I96:J96" si="73">+I97+I99</f>
        <v>-100000</v>
      </c>
      <c r="J96" s="39">
        <f t="shared" si="73"/>
        <v>2199000</v>
      </c>
      <c r="K96" s="39">
        <f t="shared" ref="K96:L96" si="74">+K97+K99</f>
        <v>0</v>
      </c>
      <c r="L96" s="39">
        <f t="shared" si="74"/>
        <v>2199000</v>
      </c>
      <c r="M96" s="39"/>
      <c r="N96" s="39">
        <f t="shared" ref="N96:O96" si="75">+N97+N99</f>
        <v>0</v>
      </c>
      <c r="O96" s="39">
        <f t="shared" si="75"/>
        <v>2199000</v>
      </c>
      <c r="P96" s="39">
        <f t="shared" ref="P96:Q96" si="76">+P97+P99</f>
        <v>-582673.2699999999</v>
      </c>
      <c r="Q96" s="39">
        <f t="shared" si="76"/>
        <v>1616326.73</v>
      </c>
    </row>
    <row r="97" spans="1:25" ht="24.75" x14ac:dyDescent="0.25">
      <c r="A97" s="47" t="s">
        <v>44</v>
      </c>
      <c r="B97" s="37" t="s">
        <v>13</v>
      </c>
      <c r="C97" s="34" t="s">
        <v>30</v>
      </c>
      <c r="D97" s="34" t="s">
        <v>76</v>
      </c>
      <c r="E97" s="34" t="s">
        <v>74</v>
      </c>
      <c r="F97" s="39">
        <f>+F98</f>
        <v>999000</v>
      </c>
      <c r="G97" s="39"/>
      <c r="H97" s="39"/>
      <c r="I97" s="39">
        <f t="shared" ref="I97:Q97" si="77">+I98</f>
        <v>-100000</v>
      </c>
      <c r="J97" s="39">
        <f t="shared" si="77"/>
        <v>899000</v>
      </c>
      <c r="K97" s="39">
        <f t="shared" si="77"/>
        <v>0</v>
      </c>
      <c r="L97" s="39">
        <f t="shared" si="77"/>
        <v>899000</v>
      </c>
      <c r="M97" s="39"/>
      <c r="N97" s="39">
        <f t="shared" si="77"/>
        <v>0</v>
      </c>
      <c r="O97" s="39">
        <f t="shared" si="77"/>
        <v>899000</v>
      </c>
      <c r="P97" s="39">
        <f t="shared" si="77"/>
        <v>-707333.41999999993</v>
      </c>
      <c r="Q97" s="39">
        <f t="shared" si="77"/>
        <v>191666.58000000007</v>
      </c>
    </row>
    <row r="98" spans="1:25" ht="36.75" x14ac:dyDescent="0.25">
      <c r="A98" s="47" t="s">
        <v>23</v>
      </c>
      <c r="B98" s="37" t="s">
        <v>13</v>
      </c>
      <c r="C98" s="34" t="s">
        <v>30</v>
      </c>
      <c r="D98" s="34" t="s">
        <v>76</v>
      </c>
      <c r="E98" s="34" t="s">
        <v>24</v>
      </c>
      <c r="F98" s="39">
        <f>966000+35000-2000</f>
        <v>999000</v>
      </c>
      <c r="G98" s="39"/>
      <c r="H98" s="39"/>
      <c r="I98" s="39">
        <f>+J98-F98</f>
        <v>-100000</v>
      </c>
      <c r="J98" s="39">
        <v>899000</v>
      </c>
      <c r="K98" s="39"/>
      <c r="L98" s="39">
        <v>899000</v>
      </c>
      <c r="M98" s="116"/>
      <c r="N98" s="39"/>
      <c r="O98" s="39">
        <v>899000</v>
      </c>
      <c r="P98" s="39">
        <f>-623400.09-83933.33</f>
        <v>-707333.41999999993</v>
      </c>
      <c r="Q98" s="39">
        <f>O98+P98</f>
        <v>191666.58000000007</v>
      </c>
    </row>
    <row r="99" spans="1:25" x14ac:dyDescent="0.25">
      <c r="A99" s="47" t="s">
        <v>25</v>
      </c>
      <c r="B99" s="37" t="s">
        <v>13</v>
      </c>
      <c r="C99" s="34" t="s">
        <v>30</v>
      </c>
      <c r="D99" s="34" t="s">
        <v>76</v>
      </c>
      <c r="E99" s="34" t="s">
        <v>26</v>
      </c>
      <c r="F99" s="39">
        <f>F100</f>
        <v>1300000</v>
      </c>
      <c r="G99" s="39">
        <f>G100</f>
        <v>1550000</v>
      </c>
      <c r="H99" s="39">
        <f>H100</f>
        <v>1600000</v>
      </c>
      <c r="I99" s="39">
        <f t="shared" ref="I99:Q99" si="78">I100</f>
        <v>0</v>
      </c>
      <c r="J99" s="39">
        <f t="shared" si="78"/>
        <v>1300000</v>
      </c>
      <c r="K99" s="39">
        <f t="shared" si="78"/>
        <v>0</v>
      </c>
      <c r="L99" s="39">
        <f t="shared" si="78"/>
        <v>1300000</v>
      </c>
      <c r="M99" s="39"/>
      <c r="N99" s="39">
        <f t="shared" si="78"/>
        <v>0</v>
      </c>
      <c r="O99" s="39">
        <f t="shared" si="78"/>
        <v>1300000</v>
      </c>
      <c r="P99" s="39">
        <f t="shared" si="78"/>
        <v>124660.15</v>
      </c>
      <c r="Q99" s="39">
        <f t="shared" si="78"/>
        <v>1424660.15</v>
      </c>
    </row>
    <row r="100" spans="1:25" ht="36.75" x14ac:dyDescent="0.25">
      <c r="A100" s="47" t="s">
        <v>57</v>
      </c>
      <c r="B100" s="37" t="s">
        <v>13</v>
      </c>
      <c r="C100" s="34" t="s">
        <v>30</v>
      </c>
      <c r="D100" s="34" t="s">
        <v>76</v>
      </c>
      <c r="E100" s="34" t="s">
        <v>77</v>
      </c>
      <c r="F100" s="39">
        <f>1500000-200000</f>
        <v>1300000</v>
      </c>
      <c r="G100" s="39">
        <v>1550000</v>
      </c>
      <c r="H100" s="39">
        <v>1600000</v>
      </c>
      <c r="I100" s="39">
        <f>+J100-F100</f>
        <v>0</v>
      </c>
      <c r="J100" s="39">
        <v>1300000</v>
      </c>
      <c r="K100" s="39"/>
      <c r="L100" s="39">
        <v>1300000</v>
      </c>
      <c r="M100" s="122"/>
      <c r="N100" s="39"/>
      <c r="O100" s="39">
        <v>1300000</v>
      </c>
      <c r="P100" s="39">
        <f>22854.17+101805.98</f>
        <v>124660.15</v>
      </c>
      <c r="Q100" s="39">
        <f>O100+P100</f>
        <v>1424660.15</v>
      </c>
    </row>
    <row r="101" spans="1:25" ht="31.5" x14ac:dyDescent="0.25">
      <c r="A101" s="130" t="s">
        <v>29</v>
      </c>
      <c r="B101" s="37" t="s">
        <v>13</v>
      </c>
      <c r="C101" s="34" t="s">
        <v>30</v>
      </c>
      <c r="D101" s="44" t="s">
        <v>31</v>
      </c>
      <c r="E101" s="34"/>
      <c r="F101" s="39">
        <f>F102+F105</f>
        <v>5736783.5</v>
      </c>
      <c r="G101" s="39">
        <f>G102+G105</f>
        <v>5621398</v>
      </c>
      <c r="H101" s="39">
        <f>H102+H105</f>
        <v>5653398</v>
      </c>
      <c r="I101" s="39">
        <f t="shared" ref="I101:J101" si="79">I102+I105</f>
        <v>-65351</v>
      </c>
      <c r="J101" s="39">
        <f t="shared" si="79"/>
        <v>5671432.5</v>
      </c>
      <c r="K101" s="39">
        <f t="shared" ref="K101:L101" si="80">K102+K105</f>
        <v>0</v>
      </c>
      <c r="L101" s="39">
        <f t="shared" si="80"/>
        <v>5671432.5</v>
      </c>
      <c r="M101" s="39"/>
      <c r="N101" s="39">
        <f t="shared" ref="N101:O101" si="81">N102+N105</f>
        <v>0</v>
      </c>
      <c r="O101" s="39">
        <f t="shared" si="81"/>
        <v>5671432.5</v>
      </c>
      <c r="P101" s="39">
        <f t="shared" ref="P101:Q101" si="82">P102+P105</f>
        <v>-718184.84000000008</v>
      </c>
      <c r="Q101" s="39">
        <f t="shared" si="82"/>
        <v>4953247.66</v>
      </c>
      <c r="R101" s="144"/>
      <c r="V101" s="9"/>
      <c r="Y101" s="9">
        <f>Q101</f>
        <v>4953247.66</v>
      </c>
    </row>
    <row r="102" spans="1:25" ht="48.75" x14ac:dyDescent="0.25">
      <c r="A102" s="45" t="s">
        <v>32</v>
      </c>
      <c r="B102" s="37" t="s">
        <v>13</v>
      </c>
      <c r="C102" s="34" t="s">
        <v>30</v>
      </c>
      <c r="D102" s="44" t="s">
        <v>33</v>
      </c>
      <c r="E102" s="34"/>
      <c r="F102" s="39">
        <f t="shared" ref="F102:Q103" si="83">F103</f>
        <v>5004000</v>
      </c>
      <c r="G102" s="39">
        <f t="shared" si="83"/>
        <v>4806398</v>
      </c>
      <c r="H102" s="39">
        <f t="shared" si="83"/>
        <v>4806398</v>
      </c>
      <c r="I102" s="39">
        <f t="shared" si="83"/>
        <v>0</v>
      </c>
      <c r="J102" s="39">
        <f t="shared" si="83"/>
        <v>5004000</v>
      </c>
      <c r="K102" s="39">
        <f t="shared" si="83"/>
        <v>0</v>
      </c>
      <c r="L102" s="39">
        <f t="shared" si="83"/>
        <v>5004000</v>
      </c>
      <c r="M102" s="39"/>
      <c r="N102" s="39">
        <f t="shared" si="83"/>
        <v>0</v>
      </c>
      <c r="O102" s="39">
        <f t="shared" si="83"/>
        <v>5004000</v>
      </c>
      <c r="P102" s="39">
        <f t="shared" si="83"/>
        <v>-625093.28</v>
      </c>
      <c r="Q102" s="39">
        <f t="shared" si="83"/>
        <v>4378906.72</v>
      </c>
    </row>
    <row r="103" spans="1:25" ht="60.75" x14ac:dyDescent="0.25">
      <c r="A103" s="46" t="s">
        <v>19</v>
      </c>
      <c r="B103" s="37" t="s">
        <v>13</v>
      </c>
      <c r="C103" s="34" t="s">
        <v>30</v>
      </c>
      <c r="D103" s="44" t="s">
        <v>33</v>
      </c>
      <c r="E103" s="34" t="s">
        <v>20</v>
      </c>
      <c r="F103" s="39">
        <f t="shared" si="83"/>
        <v>5004000</v>
      </c>
      <c r="G103" s="39">
        <f t="shared" si="83"/>
        <v>4806398</v>
      </c>
      <c r="H103" s="39">
        <f t="shared" si="83"/>
        <v>4806398</v>
      </c>
      <c r="I103" s="39">
        <f t="shared" si="83"/>
        <v>0</v>
      </c>
      <c r="J103" s="39">
        <f t="shared" si="83"/>
        <v>5004000</v>
      </c>
      <c r="K103" s="39">
        <f t="shared" si="83"/>
        <v>0</v>
      </c>
      <c r="L103" s="39">
        <f t="shared" si="83"/>
        <v>5004000</v>
      </c>
      <c r="M103" s="39"/>
      <c r="N103" s="39">
        <f t="shared" si="83"/>
        <v>0</v>
      </c>
      <c r="O103" s="39">
        <f t="shared" si="83"/>
        <v>5004000</v>
      </c>
      <c r="P103" s="39">
        <f t="shared" si="83"/>
        <v>-625093.28</v>
      </c>
      <c r="Q103" s="39">
        <f t="shared" si="83"/>
        <v>4378906.72</v>
      </c>
    </row>
    <row r="104" spans="1:25" ht="24.75" x14ac:dyDescent="0.25">
      <c r="A104" s="47" t="s">
        <v>21</v>
      </c>
      <c r="B104" s="37" t="s">
        <v>13</v>
      </c>
      <c r="C104" s="34" t="s">
        <v>30</v>
      </c>
      <c r="D104" s="44" t="s">
        <v>33</v>
      </c>
      <c r="E104" s="34" t="s">
        <v>22</v>
      </c>
      <c r="F104" s="39">
        <v>5004000</v>
      </c>
      <c r="G104" s="39">
        <f>3691550+1114848</f>
        <v>4806398</v>
      </c>
      <c r="H104" s="39">
        <v>4806398</v>
      </c>
      <c r="I104" s="39">
        <f>+J104-F104</f>
        <v>0</v>
      </c>
      <c r="J104" s="39">
        <v>5004000</v>
      </c>
      <c r="K104" s="39"/>
      <c r="L104" s="39">
        <v>5004000</v>
      </c>
      <c r="M104" s="39"/>
      <c r="N104" s="39"/>
      <c r="O104" s="39">
        <v>5004000</v>
      </c>
      <c r="P104" s="39">
        <v>-625093.28</v>
      </c>
      <c r="Q104" s="39">
        <f>O104+P104</f>
        <v>4378906.72</v>
      </c>
    </row>
    <row r="105" spans="1:25" ht="36.75" x14ac:dyDescent="0.25">
      <c r="A105" s="45" t="s">
        <v>78</v>
      </c>
      <c r="B105" s="37" t="s">
        <v>13</v>
      </c>
      <c r="C105" s="34" t="s">
        <v>30</v>
      </c>
      <c r="D105" s="44" t="s">
        <v>79</v>
      </c>
      <c r="E105" s="34"/>
      <c r="F105" s="39">
        <f t="shared" ref="F105:Q106" si="84">F106</f>
        <v>732783.5</v>
      </c>
      <c r="G105" s="39">
        <f t="shared" si="84"/>
        <v>815000</v>
      </c>
      <c r="H105" s="39">
        <f t="shared" si="84"/>
        <v>847000</v>
      </c>
      <c r="I105" s="39">
        <f t="shared" si="84"/>
        <v>-65351</v>
      </c>
      <c r="J105" s="39">
        <f t="shared" si="84"/>
        <v>667432.5</v>
      </c>
      <c r="K105" s="39">
        <f t="shared" si="84"/>
        <v>0</v>
      </c>
      <c r="L105" s="39">
        <f t="shared" si="84"/>
        <v>667432.5</v>
      </c>
      <c r="M105" s="39"/>
      <c r="N105" s="39">
        <f t="shared" si="84"/>
        <v>0</v>
      </c>
      <c r="O105" s="39">
        <f t="shared" si="84"/>
        <v>667432.5</v>
      </c>
      <c r="P105" s="39">
        <f t="shared" si="84"/>
        <v>-93091.56</v>
      </c>
      <c r="Q105" s="39">
        <f t="shared" si="84"/>
        <v>574340.93999999994</v>
      </c>
    </row>
    <row r="106" spans="1:25" ht="24.75" x14ac:dyDescent="0.25">
      <c r="A106" s="41" t="s">
        <v>44</v>
      </c>
      <c r="B106" s="37" t="s">
        <v>13</v>
      </c>
      <c r="C106" s="34" t="s">
        <v>30</v>
      </c>
      <c r="D106" s="44" t="s">
        <v>79</v>
      </c>
      <c r="E106" s="34" t="s">
        <v>74</v>
      </c>
      <c r="F106" s="39">
        <f t="shared" si="84"/>
        <v>732783.5</v>
      </c>
      <c r="G106" s="39">
        <f t="shared" si="84"/>
        <v>815000</v>
      </c>
      <c r="H106" s="39">
        <f t="shared" si="84"/>
        <v>847000</v>
      </c>
      <c r="I106" s="39">
        <f t="shared" si="84"/>
        <v>-65351</v>
      </c>
      <c r="J106" s="39">
        <f t="shared" si="84"/>
        <v>667432.5</v>
      </c>
      <c r="K106" s="39">
        <f t="shared" si="84"/>
        <v>0</v>
      </c>
      <c r="L106" s="39">
        <f t="shared" si="84"/>
        <v>667432.5</v>
      </c>
      <c r="M106" s="39"/>
      <c r="N106" s="39">
        <f t="shared" si="84"/>
        <v>0</v>
      </c>
      <c r="O106" s="39">
        <f t="shared" si="84"/>
        <v>667432.5</v>
      </c>
      <c r="P106" s="39">
        <f t="shared" si="84"/>
        <v>-93091.56</v>
      </c>
      <c r="Q106" s="39">
        <f t="shared" si="84"/>
        <v>574340.93999999994</v>
      </c>
    </row>
    <row r="107" spans="1:25" ht="36.75" x14ac:dyDescent="0.25">
      <c r="A107" s="46" t="s">
        <v>23</v>
      </c>
      <c r="B107" s="37" t="s">
        <v>13</v>
      </c>
      <c r="C107" s="34" t="s">
        <v>30</v>
      </c>
      <c r="D107" s="44" t="s">
        <v>79</v>
      </c>
      <c r="E107" s="34" t="s">
        <v>24</v>
      </c>
      <c r="F107" s="39">
        <f>902930*0.95-118000-7000</f>
        <v>732783.5</v>
      </c>
      <c r="G107" s="39">
        <v>815000</v>
      </c>
      <c r="H107" s="39">
        <v>847000</v>
      </c>
      <c r="I107" s="39">
        <f>-2-65350+1</f>
        <v>-65351</v>
      </c>
      <c r="J107" s="39">
        <f>+F107+I107</f>
        <v>667432.5</v>
      </c>
      <c r="K107" s="39">
        <v>0</v>
      </c>
      <c r="L107" s="39">
        <f>J107+K107</f>
        <v>667432.5</v>
      </c>
      <c r="M107" s="116"/>
      <c r="N107" s="39">
        <v>0</v>
      </c>
      <c r="O107" s="39">
        <f>L107+N107</f>
        <v>667432.5</v>
      </c>
      <c r="P107" s="39">
        <v>-93091.56</v>
      </c>
      <c r="Q107" s="39">
        <f>O107+P107</f>
        <v>574340.93999999994</v>
      </c>
    </row>
    <row r="108" spans="1:25" ht="20.45" customHeight="1" x14ac:dyDescent="0.25">
      <c r="A108" s="62" t="s">
        <v>80</v>
      </c>
      <c r="B108" s="37" t="s">
        <v>13</v>
      </c>
      <c r="C108" s="34" t="s">
        <v>30</v>
      </c>
      <c r="D108" s="44"/>
      <c r="E108" s="34"/>
      <c r="F108" s="53">
        <f>+F109</f>
        <v>1026444.2</v>
      </c>
      <c r="G108" s="53">
        <f>+G109</f>
        <v>1184000</v>
      </c>
      <c r="H108" s="53">
        <f>+H109</f>
        <v>1184000</v>
      </c>
      <c r="I108" s="53">
        <f t="shared" ref="I108:Q108" si="85">+I109</f>
        <v>0</v>
      </c>
      <c r="J108" s="53">
        <f t="shared" si="85"/>
        <v>1026444</v>
      </c>
      <c r="K108" s="53">
        <f t="shared" si="85"/>
        <v>0</v>
      </c>
      <c r="L108" s="53">
        <f t="shared" si="85"/>
        <v>1026444</v>
      </c>
      <c r="M108" s="53"/>
      <c r="N108" s="53">
        <f t="shared" si="85"/>
        <v>595000</v>
      </c>
      <c r="O108" s="53">
        <f t="shared" si="85"/>
        <v>1621444</v>
      </c>
      <c r="P108" s="53">
        <f t="shared" si="85"/>
        <v>704951.24</v>
      </c>
      <c r="Q108" s="53">
        <f t="shared" si="85"/>
        <v>2326395.2399999998</v>
      </c>
      <c r="R108" s="159" t="s">
        <v>320</v>
      </c>
    </row>
    <row r="109" spans="1:25" x14ac:dyDescent="0.25">
      <c r="A109" s="63" t="s">
        <v>52</v>
      </c>
      <c r="B109" s="37" t="s">
        <v>13</v>
      </c>
      <c r="C109" s="34" t="s">
        <v>30</v>
      </c>
      <c r="D109" s="44" t="s">
        <v>81</v>
      </c>
      <c r="E109" s="34"/>
      <c r="F109" s="39">
        <f>F110+F114</f>
        <v>1026444.2</v>
      </c>
      <c r="G109" s="39">
        <f>G110+G114</f>
        <v>1184000</v>
      </c>
      <c r="H109" s="39">
        <f>H110+H114</f>
        <v>1184000</v>
      </c>
      <c r="I109" s="39">
        <f t="shared" ref="I109:J109" si="86">I110+I114</f>
        <v>0</v>
      </c>
      <c r="J109" s="39">
        <f t="shared" si="86"/>
        <v>1026444</v>
      </c>
      <c r="K109" s="39">
        <f t="shared" ref="K109:L109" si="87">K110+K114</f>
        <v>0</v>
      </c>
      <c r="L109" s="39">
        <f t="shared" si="87"/>
        <v>1026444</v>
      </c>
      <c r="M109" s="39"/>
      <c r="N109" s="39">
        <f>N110+N114+N112</f>
        <v>595000</v>
      </c>
      <c r="O109" s="39">
        <f>O110+O114+O112</f>
        <v>1621444</v>
      </c>
      <c r="P109" s="39">
        <f>P110+P114+P112</f>
        <v>704951.24</v>
      </c>
      <c r="Q109" s="39">
        <f>Q110+Q114+Q112</f>
        <v>2326395.2399999998</v>
      </c>
      <c r="R109" s="144"/>
    </row>
    <row r="110" spans="1:25" ht="24.75" x14ac:dyDescent="0.25">
      <c r="A110" s="41" t="s">
        <v>44</v>
      </c>
      <c r="B110" s="37" t="s">
        <v>13</v>
      </c>
      <c r="C110" s="34" t="s">
        <v>30</v>
      </c>
      <c r="D110" s="44" t="s">
        <v>81</v>
      </c>
      <c r="E110" s="34" t="s">
        <v>74</v>
      </c>
      <c r="F110" s="39">
        <f>F111</f>
        <v>846444.2</v>
      </c>
      <c r="G110" s="39">
        <f>G111</f>
        <v>1004000</v>
      </c>
      <c r="H110" s="39">
        <f>H111</f>
        <v>1004000</v>
      </c>
      <c r="I110" s="39">
        <f t="shared" ref="I110:Q110" si="88">I111</f>
        <v>0</v>
      </c>
      <c r="J110" s="39">
        <f t="shared" si="88"/>
        <v>846444</v>
      </c>
      <c r="K110" s="39">
        <f t="shared" si="88"/>
        <v>0</v>
      </c>
      <c r="L110" s="39">
        <f t="shared" si="88"/>
        <v>846444</v>
      </c>
      <c r="M110" s="39"/>
      <c r="N110" s="39">
        <f t="shared" si="88"/>
        <v>151788</v>
      </c>
      <c r="O110" s="39">
        <f t="shared" si="88"/>
        <v>998232</v>
      </c>
      <c r="P110" s="39">
        <f t="shared" si="88"/>
        <v>581280.49</v>
      </c>
      <c r="Q110" s="39">
        <f t="shared" si="88"/>
        <v>1579512.49</v>
      </c>
    </row>
    <row r="111" spans="1:25" ht="36.75" x14ac:dyDescent="0.25">
      <c r="A111" s="46" t="s">
        <v>23</v>
      </c>
      <c r="B111" s="37" t="s">
        <v>13</v>
      </c>
      <c r="C111" s="34" t="s">
        <v>30</v>
      </c>
      <c r="D111" s="44" t="s">
        <v>81</v>
      </c>
      <c r="E111" s="34" t="s">
        <v>24</v>
      </c>
      <c r="F111" s="39">
        <f>947836*0.95-54000</f>
        <v>846444.2</v>
      </c>
      <c r="G111" s="39">
        <v>1004000</v>
      </c>
      <c r="H111" s="39">
        <v>1004000</v>
      </c>
      <c r="I111" s="39"/>
      <c r="J111" s="39">
        <v>846444</v>
      </c>
      <c r="K111" s="39"/>
      <c r="L111" s="39">
        <v>846444</v>
      </c>
      <c r="M111" s="39"/>
      <c r="N111" s="39">
        <f>-126430+7000+100000+170000+1218</f>
        <v>151788</v>
      </c>
      <c r="O111" s="39">
        <f>L111+N111</f>
        <v>998232</v>
      </c>
      <c r="P111" s="39">
        <f>-1250+576046.24+1872.57+4611.68</f>
        <v>581280.49</v>
      </c>
      <c r="Q111" s="39">
        <f>O111+P111</f>
        <v>1579512.49</v>
      </c>
      <c r="R111" s="185"/>
    </row>
    <row r="112" spans="1:25" ht="24.75" x14ac:dyDescent="0.25">
      <c r="A112" s="46" t="s">
        <v>167</v>
      </c>
      <c r="B112" s="37" t="s">
        <v>13</v>
      </c>
      <c r="C112" s="34" t="s">
        <v>30</v>
      </c>
      <c r="D112" s="44" t="s">
        <v>81</v>
      </c>
      <c r="E112" s="34" t="s">
        <v>173</v>
      </c>
      <c r="F112" s="39"/>
      <c r="G112" s="39"/>
      <c r="H112" s="39"/>
      <c r="I112" s="39"/>
      <c r="J112" s="39"/>
      <c r="K112" s="39"/>
      <c r="L112" s="39"/>
      <c r="M112" s="39"/>
      <c r="N112" s="39">
        <f>N113</f>
        <v>126430</v>
      </c>
      <c r="O112" s="39">
        <f>O113</f>
        <v>126430</v>
      </c>
      <c r="P112" s="39">
        <f>P113</f>
        <v>0.2999999999992724</v>
      </c>
      <c r="Q112" s="39">
        <f>Q113</f>
        <v>126430.3</v>
      </c>
    </row>
    <row r="113" spans="1:19" x14ac:dyDescent="0.25">
      <c r="A113" s="46" t="s">
        <v>174</v>
      </c>
      <c r="B113" s="37" t="s">
        <v>13</v>
      </c>
      <c r="C113" s="34" t="s">
        <v>30</v>
      </c>
      <c r="D113" s="44" t="s">
        <v>81</v>
      </c>
      <c r="E113" s="34" t="s">
        <v>175</v>
      </c>
      <c r="F113" s="39"/>
      <c r="G113" s="39"/>
      <c r="H113" s="39"/>
      <c r="I113" s="39"/>
      <c r="J113" s="39"/>
      <c r="K113" s="39"/>
      <c r="L113" s="39"/>
      <c r="M113" s="39"/>
      <c r="N113" s="39">
        <v>126430</v>
      </c>
      <c r="O113" s="39">
        <f>L113+N113</f>
        <v>126430</v>
      </c>
      <c r="P113" s="39">
        <f>9711.3+10000+2700-22411</f>
        <v>0.2999999999992724</v>
      </c>
      <c r="Q113" s="39">
        <f>O113+P113</f>
        <v>126430.3</v>
      </c>
    </row>
    <row r="114" spans="1:19" x14ac:dyDescent="0.25">
      <c r="A114" s="41" t="s">
        <v>25</v>
      </c>
      <c r="B114" s="37" t="s">
        <v>13</v>
      </c>
      <c r="C114" s="34" t="s">
        <v>30</v>
      </c>
      <c r="D114" s="44" t="s">
        <v>81</v>
      </c>
      <c r="E114" s="34" t="s">
        <v>26</v>
      </c>
      <c r="F114" s="39">
        <f>F116</f>
        <v>180000</v>
      </c>
      <c r="G114" s="39">
        <f>G116</f>
        <v>180000</v>
      </c>
      <c r="H114" s="39">
        <f>H116</f>
        <v>180000</v>
      </c>
      <c r="I114" s="39">
        <f>I116+I115</f>
        <v>0</v>
      </c>
      <c r="J114" s="39">
        <f>J116+J115</f>
        <v>180000</v>
      </c>
      <c r="K114" s="39">
        <f>K116+K115</f>
        <v>0</v>
      </c>
      <c r="L114" s="39">
        <f>L116+L115</f>
        <v>180000</v>
      </c>
      <c r="M114" s="39"/>
      <c r="N114" s="39">
        <f>N116+N115</f>
        <v>316782</v>
      </c>
      <c r="O114" s="39">
        <f>O116+O115</f>
        <v>496782</v>
      </c>
      <c r="P114" s="39">
        <f>P116+P115</f>
        <v>123670.45</v>
      </c>
      <c r="Q114" s="39">
        <f>Q116+Q115</f>
        <v>620452.44999999995</v>
      </c>
    </row>
    <row r="115" spans="1:19" x14ac:dyDescent="0.25">
      <c r="A115" s="46" t="s">
        <v>271</v>
      </c>
      <c r="B115" s="37" t="s">
        <v>13</v>
      </c>
      <c r="C115" s="34" t="s">
        <v>30</v>
      </c>
      <c r="D115" s="44" t="s">
        <v>81</v>
      </c>
      <c r="E115" s="34" t="s">
        <v>259</v>
      </c>
      <c r="F115" s="39"/>
      <c r="G115" s="39"/>
      <c r="H115" s="39"/>
      <c r="I115" s="39">
        <f t="shared" ref="I115:I120" si="89">+J115-F115</f>
        <v>22500</v>
      </c>
      <c r="J115" s="39">
        <v>22500</v>
      </c>
      <c r="K115" s="39"/>
      <c r="L115" s="39">
        <v>22500</v>
      </c>
      <c r="M115" s="39"/>
      <c r="N115" s="39">
        <f>110000+15000+120000</f>
        <v>245000</v>
      </c>
      <c r="O115" s="39">
        <f>L115+N115</f>
        <v>267500</v>
      </c>
      <c r="P115" s="39">
        <f>-15359.55</f>
        <v>-15359.55</v>
      </c>
      <c r="Q115" s="39">
        <f>O115+P115</f>
        <v>252140.45</v>
      </c>
      <c r="S115" s="9"/>
    </row>
    <row r="116" spans="1:19" x14ac:dyDescent="0.25">
      <c r="A116" s="46" t="s">
        <v>194</v>
      </c>
      <c r="B116" s="37" t="s">
        <v>13</v>
      </c>
      <c r="C116" s="34" t="s">
        <v>30</v>
      </c>
      <c r="D116" s="44" t="s">
        <v>81</v>
      </c>
      <c r="E116" s="34" t="s">
        <v>195</v>
      </c>
      <c r="F116" s="39">
        <v>180000</v>
      </c>
      <c r="G116" s="39">
        <v>180000</v>
      </c>
      <c r="H116" s="39">
        <v>180000</v>
      </c>
      <c r="I116" s="39">
        <f t="shared" si="89"/>
        <v>-22500</v>
      </c>
      <c r="J116" s="39">
        <v>157500</v>
      </c>
      <c r="K116" s="39"/>
      <c r="L116" s="39">
        <v>157500</v>
      </c>
      <c r="M116" s="116"/>
      <c r="N116" s="39">
        <f>-7000-1218+80000</f>
        <v>71782</v>
      </c>
      <c r="O116" s="39">
        <f>L116+N116</f>
        <v>229282</v>
      </c>
      <c r="P116" s="39">
        <f>89029.9+50000.1</f>
        <v>139030</v>
      </c>
      <c r="Q116" s="39">
        <f>O116+P116</f>
        <v>368312</v>
      </c>
    </row>
    <row r="117" spans="1:19" ht="24.75" x14ac:dyDescent="0.25">
      <c r="A117" s="32" t="s">
        <v>86</v>
      </c>
      <c r="B117" s="37" t="s">
        <v>13</v>
      </c>
      <c r="C117" s="34" t="s">
        <v>30</v>
      </c>
      <c r="D117" s="29" t="s">
        <v>87</v>
      </c>
      <c r="E117" s="35"/>
      <c r="F117" s="39">
        <f t="shared" ref="F117:P117" si="90">+F118</f>
        <v>0</v>
      </c>
      <c r="G117" s="39">
        <f t="shared" si="90"/>
        <v>0</v>
      </c>
      <c r="H117" s="39">
        <f t="shared" si="90"/>
        <v>0</v>
      </c>
      <c r="I117" s="39">
        <f t="shared" si="90"/>
        <v>127490</v>
      </c>
      <c r="J117" s="39">
        <f t="shared" si="90"/>
        <v>127490</v>
      </c>
      <c r="K117" s="39">
        <f t="shared" si="90"/>
        <v>0</v>
      </c>
      <c r="L117" s="39">
        <f t="shared" si="90"/>
        <v>127490</v>
      </c>
      <c r="M117" s="39"/>
      <c r="N117" s="39">
        <f t="shared" si="90"/>
        <v>0</v>
      </c>
      <c r="O117" s="39">
        <f>+O118</f>
        <v>127490</v>
      </c>
      <c r="P117" s="39">
        <f t="shared" si="90"/>
        <v>0</v>
      </c>
      <c r="Q117" s="39">
        <f>+Q118</f>
        <v>127490</v>
      </c>
    </row>
    <row r="118" spans="1:19" ht="36.75" x14ac:dyDescent="0.25">
      <c r="A118" s="47" t="s">
        <v>260</v>
      </c>
      <c r="B118" s="37" t="s">
        <v>13</v>
      </c>
      <c r="C118" s="34" t="s">
        <v>30</v>
      </c>
      <c r="D118" s="44" t="s">
        <v>261</v>
      </c>
      <c r="E118" s="34"/>
      <c r="F118" s="39"/>
      <c r="G118" s="39"/>
      <c r="H118" s="39"/>
      <c r="I118" s="39">
        <f t="shared" si="89"/>
        <v>127490</v>
      </c>
      <c r="J118" s="39">
        <f>+J119</f>
        <v>127490</v>
      </c>
      <c r="K118" s="39">
        <f>K119</f>
        <v>0</v>
      </c>
      <c r="L118" s="39">
        <f>+L119</f>
        <v>127490</v>
      </c>
      <c r="M118" s="39"/>
      <c r="N118" s="39">
        <f>N119</f>
        <v>0</v>
      </c>
      <c r="O118" s="39">
        <f>+O119</f>
        <v>127490</v>
      </c>
      <c r="P118" s="39">
        <f>P119</f>
        <v>0</v>
      </c>
      <c r="Q118" s="39">
        <f>+Q119</f>
        <v>127490</v>
      </c>
    </row>
    <row r="119" spans="1:19" ht="60.75" x14ac:dyDescent="0.25">
      <c r="A119" s="41" t="s">
        <v>19</v>
      </c>
      <c r="B119" s="37" t="s">
        <v>13</v>
      </c>
      <c r="C119" s="34" t="s">
        <v>30</v>
      </c>
      <c r="D119" s="44" t="s">
        <v>261</v>
      </c>
      <c r="E119" s="34" t="s">
        <v>20</v>
      </c>
      <c r="F119" s="39"/>
      <c r="G119" s="39"/>
      <c r="H119" s="39"/>
      <c r="I119" s="39">
        <f t="shared" si="89"/>
        <v>127490</v>
      </c>
      <c r="J119" s="39">
        <f>+J120</f>
        <v>127490</v>
      </c>
      <c r="K119" s="39">
        <f>K120</f>
        <v>0</v>
      </c>
      <c r="L119" s="39">
        <f>+L120</f>
        <v>127490</v>
      </c>
      <c r="M119" s="39"/>
      <c r="N119" s="39">
        <f>N120</f>
        <v>0</v>
      </c>
      <c r="O119" s="39">
        <f>+O120</f>
        <v>127490</v>
      </c>
      <c r="P119" s="39">
        <f>P120</f>
        <v>0</v>
      </c>
      <c r="Q119" s="39">
        <f>+Q120</f>
        <v>127490</v>
      </c>
    </row>
    <row r="120" spans="1:19" ht="24.75" x14ac:dyDescent="0.25">
      <c r="A120" s="47" t="s">
        <v>21</v>
      </c>
      <c r="B120" s="37" t="s">
        <v>13</v>
      </c>
      <c r="C120" s="34" t="s">
        <v>30</v>
      </c>
      <c r="D120" s="44" t="s">
        <v>261</v>
      </c>
      <c r="E120" s="34" t="s">
        <v>22</v>
      </c>
      <c r="F120" s="39"/>
      <c r="G120" s="39"/>
      <c r="H120" s="39"/>
      <c r="I120" s="39">
        <f t="shared" si="89"/>
        <v>127490</v>
      </c>
      <c r="J120" s="39">
        <v>127490</v>
      </c>
      <c r="K120" s="39"/>
      <c r="L120" s="39">
        <v>127490</v>
      </c>
      <c r="M120" s="115"/>
      <c r="N120" s="39"/>
      <c r="O120" s="39">
        <v>127490</v>
      </c>
      <c r="P120" s="39"/>
      <c r="Q120" s="39">
        <v>127490</v>
      </c>
    </row>
    <row r="121" spans="1:19" x14ac:dyDescent="0.25">
      <c r="A121" s="32" t="s">
        <v>82</v>
      </c>
      <c r="B121" s="33" t="s">
        <v>13</v>
      </c>
      <c r="C121" s="29" t="s">
        <v>83</v>
      </c>
      <c r="D121" s="34"/>
      <c r="E121" s="35"/>
      <c r="F121" s="26">
        <f t="shared" ref="F121:Q121" si="91">F122</f>
        <v>1300337</v>
      </c>
      <c r="G121" s="26" t="e">
        <f t="shared" si="91"/>
        <v>#REF!</v>
      </c>
      <c r="H121" s="26" t="e">
        <f t="shared" si="91"/>
        <v>#REF!</v>
      </c>
      <c r="I121" s="26">
        <f t="shared" si="91"/>
        <v>0</v>
      </c>
      <c r="J121" s="26">
        <f t="shared" si="91"/>
        <v>1300337</v>
      </c>
      <c r="K121" s="26">
        <f t="shared" si="91"/>
        <v>0</v>
      </c>
      <c r="L121" s="26">
        <f t="shared" si="91"/>
        <v>1300337</v>
      </c>
      <c r="M121" s="26"/>
      <c r="N121" s="26">
        <f t="shared" si="91"/>
        <v>0</v>
      </c>
      <c r="O121" s="26">
        <f t="shared" si="91"/>
        <v>1300337</v>
      </c>
      <c r="P121" s="26">
        <f t="shared" si="91"/>
        <v>0</v>
      </c>
      <c r="Q121" s="26">
        <f t="shared" si="91"/>
        <v>1300337</v>
      </c>
    </row>
    <row r="122" spans="1:19" x14ac:dyDescent="0.25">
      <c r="A122" s="50" t="s">
        <v>84</v>
      </c>
      <c r="B122" s="33" t="s">
        <v>13</v>
      </c>
      <c r="C122" s="29" t="s">
        <v>85</v>
      </c>
      <c r="D122" s="34"/>
      <c r="E122" s="35"/>
      <c r="F122" s="39">
        <f t="shared" ref="F122:J122" si="92">F124</f>
        <v>1300337</v>
      </c>
      <c r="G122" s="39" t="e">
        <f t="shared" si="92"/>
        <v>#REF!</v>
      </c>
      <c r="H122" s="39" t="e">
        <f t="shared" si="92"/>
        <v>#REF!</v>
      </c>
      <c r="I122" s="39">
        <f t="shared" si="92"/>
        <v>0</v>
      </c>
      <c r="J122" s="39">
        <f t="shared" si="92"/>
        <v>1300337</v>
      </c>
      <c r="K122" s="39">
        <f t="shared" ref="K122:L122" si="93">K124</f>
        <v>0</v>
      </c>
      <c r="L122" s="39">
        <f t="shared" si="93"/>
        <v>1300337</v>
      </c>
      <c r="M122" s="39"/>
      <c r="N122" s="39">
        <f t="shared" ref="N122:O122" si="94">N124</f>
        <v>0</v>
      </c>
      <c r="O122" s="39">
        <f t="shared" si="94"/>
        <v>1300337</v>
      </c>
      <c r="P122" s="39">
        <f t="shared" ref="P122:Q122" si="95">P124</f>
        <v>0</v>
      </c>
      <c r="Q122" s="39">
        <f t="shared" si="95"/>
        <v>1300337</v>
      </c>
    </row>
    <row r="123" spans="1:19" ht="24.75" x14ac:dyDescent="0.25">
      <c r="A123" s="32" t="s">
        <v>86</v>
      </c>
      <c r="B123" s="33" t="s">
        <v>13</v>
      </c>
      <c r="C123" s="29" t="s">
        <v>85</v>
      </c>
      <c r="D123" s="29" t="s">
        <v>87</v>
      </c>
      <c r="E123" s="35"/>
      <c r="F123" s="39">
        <f t="shared" ref="F123:Q123" si="96">+F124</f>
        <v>1300337</v>
      </c>
      <c r="G123" s="39" t="e">
        <f t="shared" si="96"/>
        <v>#REF!</v>
      </c>
      <c r="H123" s="39" t="e">
        <f t="shared" si="96"/>
        <v>#REF!</v>
      </c>
      <c r="I123" s="39">
        <f t="shared" si="96"/>
        <v>0</v>
      </c>
      <c r="J123" s="39">
        <f t="shared" si="96"/>
        <v>1300337</v>
      </c>
      <c r="K123" s="39">
        <f t="shared" si="96"/>
        <v>0</v>
      </c>
      <c r="L123" s="39">
        <f t="shared" si="96"/>
        <v>1300337</v>
      </c>
      <c r="M123" s="39"/>
      <c r="N123" s="39">
        <f t="shared" si="96"/>
        <v>0</v>
      </c>
      <c r="O123" s="39">
        <f t="shared" si="96"/>
        <v>1300337</v>
      </c>
      <c r="P123" s="39">
        <f t="shared" si="96"/>
        <v>0</v>
      </c>
      <c r="Q123" s="39">
        <f t="shared" si="96"/>
        <v>1300337</v>
      </c>
    </row>
    <row r="124" spans="1:19" ht="36" x14ac:dyDescent="0.25">
      <c r="A124" s="43" t="s">
        <v>88</v>
      </c>
      <c r="B124" s="37" t="s">
        <v>13</v>
      </c>
      <c r="C124" s="34" t="s">
        <v>85</v>
      </c>
      <c r="D124" s="34" t="s">
        <v>89</v>
      </c>
      <c r="E124" s="35"/>
      <c r="F124" s="39">
        <f>+F125+F127</f>
        <v>1300337</v>
      </c>
      <c r="G124" s="39" t="e">
        <f>+#REF!</f>
        <v>#REF!</v>
      </c>
      <c r="H124" s="39" t="e">
        <f>+#REF!</f>
        <v>#REF!</v>
      </c>
      <c r="I124" s="39">
        <f t="shared" ref="I124:J124" si="97">+I125+I127</f>
        <v>0</v>
      </c>
      <c r="J124" s="39">
        <f t="shared" si="97"/>
        <v>1300337</v>
      </c>
      <c r="K124" s="39">
        <f t="shared" ref="K124:L124" si="98">+K125+K127</f>
        <v>0</v>
      </c>
      <c r="L124" s="39">
        <f t="shared" si="98"/>
        <v>1300337</v>
      </c>
      <c r="M124" s="39"/>
      <c r="N124" s="39">
        <f t="shared" ref="N124:O124" si="99">+N125+N127</f>
        <v>0</v>
      </c>
      <c r="O124" s="39">
        <f t="shared" si="99"/>
        <v>1300337</v>
      </c>
      <c r="P124" s="39">
        <f t="shared" ref="P124:Q124" si="100">+P125+P127</f>
        <v>0</v>
      </c>
      <c r="Q124" s="39">
        <f t="shared" si="100"/>
        <v>1300337</v>
      </c>
    </row>
    <row r="125" spans="1:19" ht="60.75" x14ac:dyDescent="0.25">
      <c r="A125" s="41" t="s">
        <v>19</v>
      </c>
      <c r="B125" s="37" t="s">
        <v>13</v>
      </c>
      <c r="C125" s="34" t="s">
        <v>85</v>
      </c>
      <c r="D125" s="34" t="s">
        <v>89</v>
      </c>
      <c r="E125" s="34" t="s">
        <v>20</v>
      </c>
      <c r="F125" s="39">
        <f>F126</f>
        <v>1187973</v>
      </c>
      <c r="G125" s="39"/>
      <c r="H125" s="39"/>
      <c r="I125" s="39">
        <f t="shared" ref="I125:Q125" si="101">I126</f>
        <v>0</v>
      </c>
      <c r="J125" s="39">
        <f t="shared" si="101"/>
        <v>1187973</v>
      </c>
      <c r="K125" s="39">
        <f t="shared" si="101"/>
        <v>0</v>
      </c>
      <c r="L125" s="39">
        <f t="shared" si="101"/>
        <v>1187973</v>
      </c>
      <c r="M125" s="39"/>
      <c r="N125" s="39">
        <f t="shared" si="101"/>
        <v>0</v>
      </c>
      <c r="O125" s="39">
        <f t="shared" si="101"/>
        <v>1187973</v>
      </c>
      <c r="P125" s="39">
        <f t="shared" si="101"/>
        <v>0</v>
      </c>
      <c r="Q125" s="39">
        <f t="shared" si="101"/>
        <v>1187973</v>
      </c>
    </row>
    <row r="126" spans="1:19" ht="24.75" x14ac:dyDescent="0.25">
      <c r="A126" s="47" t="s">
        <v>21</v>
      </c>
      <c r="B126" s="37" t="s">
        <v>13</v>
      </c>
      <c r="C126" s="34" t="s">
        <v>85</v>
      </c>
      <c r="D126" s="34" t="s">
        <v>89</v>
      </c>
      <c r="E126" s="34" t="s">
        <v>22</v>
      </c>
      <c r="F126" s="39">
        <v>1187973</v>
      </c>
      <c r="G126" s="39"/>
      <c r="H126" s="39"/>
      <c r="I126" s="39">
        <f t="shared" ref="I126" si="102">+J126-F126</f>
        <v>0</v>
      </c>
      <c r="J126" s="39">
        <v>1187973</v>
      </c>
      <c r="K126" s="39"/>
      <c r="L126" s="39">
        <v>1187973</v>
      </c>
      <c r="M126" s="39"/>
      <c r="N126" s="39"/>
      <c r="O126" s="39">
        <v>1187973</v>
      </c>
      <c r="P126" s="39"/>
      <c r="Q126" s="39">
        <v>1187973</v>
      </c>
    </row>
    <row r="127" spans="1:19" ht="24.75" x14ac:dyDescent="0.25">
      <c r="A127" s="41" t="s">
        <v>44</v>
      </c>
      <c r="B127" s="37" t="s">
        <v>13</v>
      </c>
      <c r="C127" s="34" t="s">
        <v>85</v>
      </c>
      <c r="D127" s="34" t="s">
        <v>89</v>
      </c>
      <c r="E127" s="35">
        <v>200</v>
      </c>
      <c r="F127" s="39">
        <f>F128</f>
        <v>112364</v>
      </c>
      <c r="G127" s="39"/>
      <c r="H127" s="39"/>
      <c r="I127" s="39">
        <f t="shared" ref="I127:Q127" si="103">I128</f>
        <v>0</v>
      </c>
      <c r="J127" s="39">
        <f t="shared" si="103"/>
        <v>112364</v>
      </c>
      <c r="K127" s="39">
        <f t="shared" si="103"/>
        <v>0</v>
      </c>
      <c r="L127" s="39">
        <f t="shared" si="103"/>
        <v>112364</v>
      </c>
      <c r="M127" s="39"/>
      <c r="N127" s="39">
        <f t="shared" si="103"/>
        <v>0</v>
      </c>
      <c r="O127" s="39">
        <f t="shared" si="103"/>
        <v>112364</v>
      </c>
      <c r="P127" s="39">
        <f t="shared" si="103"/>
        <v>0</v>
      </c>
      <c r="Q127" s="39">
        <f t="shared" si="103"/>
        <v>112364</v>
      </c>
    </row>
    <row r="128" spans="1:19" ht="36.75" x14ac:dyDescent="0.25">
      <c r="A128" s="46" t="s">
        <v>23</v>
      </c>
      <c r="B128" s="37" t="s">
        <v>13</v>
      </c>
      <c r="C128" s="34" t="s">
        <v>85</v>
      </c>
      <c r="D128" s="34" t="s">
        <v>89</v>
      </c>
      <c r="E128" s="35">
        <v>240</v>
      </c>
      <c r="F128" s="39">
        <v>112364</v>
      </c>
      <c r="G128" s="39"/>
      <c r="H128" s="39"/>
      <c r="I128" s="39">
        <f t="shared" ref="I128" si="104">+J128-F128</f>
        <v>0</v>
      </c>
      <c r="J128" s="39">
        <v>112364</v>
      </c>
      <c r="K128" s="39"/>
      <c r="L128" s="39">
        <v>112364</v>
      </c>
      <c r="M128" s="39"/>
      <c r="N128" s="39"/>
      <c r="O128" s="39">
        <v>112364</v>
      </c>
      <c r="P128" s="39"/>
      <c r="Q128" s="39">
        <v>112364</v>
      </c>
    </row>
    <row r="129" spans="1:20" ht="24" x14ac:dyDescent="0.25">
      <c r="A129" s="64" t="s">
        <v>90</v>
      </c>
      <c r="B129" s="33" t="s">
        <v>13</v>
      </c>
      <c r="C129" s="29" t="s">
        <v>91</v>
      </c>
      <c r="D129" s="29"/>
      <c r="E129" s="29"/>
      <c r="F129" s="26">
        <f>+F130</f>
        <v>1970493</v>
      </c>
      <c r="G129" s="26">
        <f>+G130</f>
        <v>1635981</v>
      </c>
      <c r="H129" s="26">
        <f>+H130</f>
        <v>1655446</v>
      </c>
      <c r="I129" s="26">
        <f t="shared" ref="I129:Q129" si="105">+I130</f>
        <v>-200000</v>
      </c>
      <c r="J129" s="26">
        <f t="shared" si="105"/>
        <v>1770493</v>
      </c>
      <c r="K129" s="26">
        <f t="shared" si="105"/>
        <v>0</v>
      </c>
      <c r="L129" s="26">
        <f t="shared" si="105"/>
        <v>1770493</v>
      </c>
      <c r="M129" s="26"/>
      <c r="N129" s="26">
        <f t="shared" si="105"/>
        <v>-171805</v>
      </c>
      <c r="O129" s="26">
        <f t="shared" si="105"/>
        <v>1598688</v>
      </c>
      <c r="P129" s="26">
        <f t="shared" si="105"/>
        <v>-64064.05</v>
      </c>
      <c r="Q129" s="26">
        <f t="shared" si="105"/>
        <v>1534623.95</v>
      </c>
      <c r="R129" s="166"/>
    </row>
    <row r="130" spans="1:20" ht="36" x14ac:dyDescent="0.25">
      <c r="A130" s="64" t="s">
        <v>92</v>
      </c>
      <c r="B130" s="33" t="s">
        <v>13</v>
      </c>
      <c r="C130" s="29" t="s">
        <v>93</v>
      </c>
      <c r="D130" s="29"/>
      <c r="E130" s="29"/>
      <c r="F130" s="26">
        <f>F131</f>
        <v>1970493</v>
      </c>
      <c r="G130" s="26">
        <f>G131</f>
        <v>1635981</v>
      </c>
      <c r="H130" s="26">
        <f>H131</f>
        <v>1655446</v>
      </c>
      <c r="I130" s="26">
        <f t="shared" ref="I130:Q130" si="106">I131</f>
        <v>-200000</v>
      </c>
      <c r="J130" s="26">
        <f t="shared" si="106"/>
        <v>1770493</v>
      </c>
      <c r="K130" s="26">
        <f t="shared" si="106"/>
        <v>0</v>
      </c>
      <c r="L130" s="26">
        <f t="shared" si="106"/>
        <v>1770493</v>
      </c>
      <c r="M130" s="26"/>
      <c r="N130" s="26">
        <f t="shared" si="106"/>
        <v>-171805</v>
      </c>
      <c r="O130" s="156">
        <f t="shared" si="106"/>
        <v>1598688</v>
      </c>
      <c r="P130" s="26">
        <f t="shared" si="106"/>
        <v>-64064.05</v>
      </c>
      <c r="Q130" s="156">
        <f t="shared" si="106"/>
        <v>1534623.95</v>
      </c>
      <c r="R130" s="172">
        <f>P135+P137+P140+P142</f>
        <v>-64064.049999999988</v>
      </c>
    </row>
    <row r="131" spans="1:20" ht="36.75" x14ac:dyDescent="0.25">
      <c r="A131" s="51" t="s">
        <v>47</v>
      </c>
      <c r="B131" s="37" t="s">
        <v>13</v>
      </c>
      <c r="C131" s="34" t="s">
        <v>93</v>
      </c>
      <c r="D131" s="34" t="s">
        <v>48</v>
      </c>
      <c r="E131" s="34"/>
      <c r="F131" s="39">
        <f>F132+F138</f>
        <v>1970493</v>
      </c>
      <c r="G131" s="39">
        <f>G132+G138</f>
        <v>1635981</v>
      </c>
      <c r="H131" s="39">
        <f>H132+H138</f>
        <v>1655446</v>
      </c>
      <c r="I131" s="39">
        <f t="shared" ref="I131:J131" si="107">I132+I138</f>
        <v>-200000</v>
      </c>
      <c r="J131" s="39">
        <f t="shared" si="107"/>
        <v>1770493</v>
      </c>
      <c r="K131" s="39">
        <f t="shared" ref="K131:L131" si="108">K132+K138</f>
        <v>0</v>
      </c>
      <c r="L131" s="39">
        <f t="shared" si="108"/>
        <v>1770493</v>
      </c>
      <c r="M131" s="39"/>
      <c r="N131" s="39">
        <f t="shared" ref="N131" si="109">N132+N138</f>
        <v>-171805</v>
      </c>
      <c r="O131" s="39">
        <f>O132+O138</f>
        <v>1598688</v>
      </c>
      <c r="P131" s="39">
        <f>P132+P138</f>
        <v>-64064.05</v>
      </c>
      <c r="Q131" s="39">
        <f t="shared" ref="Q131" si="110">Q132+Q138</f>
        <v>1534623.95</v>
      </c>
      <c r="T131" s="9">
        <f>Q131</f>
        <v>1534623.95</v>
      </c>
    </row>
    <row r="132" spans="1:20" ht="24" x14ac:dyDescent="0.25">
      <c r="A132" s="65" t="s">
        <v>94</v>
      </c>
      <c r="B132" s="37" t="s">
        <v>13</v>
      </c>
      <c r="C132" s="34" t="s">
        <v>93</v>
      </c>
      <c r="D132" s="34" t="s">
        <v>95</v>
      </c>
      <c r="E132" s="34"/>
      <c r="F132" s="39">
        <f>F133+F136</f>
        <v>1290232</v>
      </c>
      <c r="G132" s="39">
        <f>G133+G136</f>
        <v>1292623</v>
      </c>
      <c r="H132" s="39">
        <f>H133+H136</f>
        <v>1295053</v>
      </c>
      <c r="I132" s="39">
        <f t="shared" ref="I132:J132" si="111">I133+I136</f>
        <v>0</v>
      </c>
      <c r="J132" s="39">
        <f t="shared" si="111"/>
        <v>1290232</v>
      </c>
      <c r="K132" s="39">
        <f t="shared" ref="K132:L132" si="112">K133+K136</f>
        <v>0</v>
      </c>
      <c r="L132" s="39">
        <f t="shared" si="112"/>
        <v>1290232</v>
      </c>
      <c r="M132" s="39"/>
      <c r="N132" s="39">
        <f t="shared" ref="N132:O132" si="113">N133+N136</f>
        <v>0</v>
      </c>
      <c r="O132" s="39">
        <f t="shared" si="113"/>
        <v>1290232</v>
      </c>
      <c r="P132" s="39">
        <f t="shared" ref="P132:Q132" si="114">P133+P136</f>
        <v>7891.9500000000007</v>
      </c>
      <c r="Q132" s="39">
        <f t="shared" si="114"/>
        <v>1298123.95</v>
      </c>
    </row>
    <row r="133" spans="1:20" ht="60.75" x14ac:dyDescent="0.25">
      <c r="A133" s="46" t="s">
        <v>19</v>
      </c>
      <c r="B133" s="37" t="s">
        <v>13</v>
      </c>
      <c r="C133" s="34" t="s">
        <v>93</v>
      </c>
      <c r="D133" s="34" t="s">
        <v>95</v>
      </c>
      <c r="E133" s="34" t="s">
        <v>20</v>
      </c>
      <c r="F133" s="39">
        <f>F134</f>
        <v>1257922</v>
      </c>
      <c r="G133" s="39">
        <f>G134</f>
        <v>1257923</v>
      </c>
      <c r="H133" s="39">
        <f>H134</f>
        <v>1257922</v>
      </c>
      <c r="I133" s="39">
        <f t="shared" ref="I133:L133" si="115">I134</f>
        <v>0</v>
      </c>
      <c r="J133" s="39">
        <f>J134+J135</f>
        <v>1257922</v>
      </c>
      <c r="K133" s="39">
        <f>K134+K135</f>
        <v>0</v>
      </c>
      <c r="L133" s="39">
        <f t="shared" si="115"/>
        <v>1257922</v>
      </c>
      <c r="M133" s="39"/>
      <c r="N133" s="39">
        <f>N134+N135</f>
        <v>0</v>
      </c>
      <c r="O133" s="39">
        <f t="shared" ref="O133:Q133" si="116">O134</f>
        <v>1257922</v>
      </c>
      <c r="P133" s="39">
        <f>P134+P135</f>
        <v>21448.99</v>
      </c>
      <c r="Q133" s="39">
        <f t="shared" si="116"/>
        <v>1279370.99</v>
      </c>
    </row>
    <row r="134" spans="1:20" ht="24.75" x14ac:dyDescent="0.25">
      <c r="A134" s="36" t="s">
        <v>96</v>
      </c>
      <c r="B134" s="37" t="s">
        <v>13</v>
      </c>
      <c r="C134" s="34" t="s">
        <v>93</v>
      </c>
      <c r="D134" s="34" t="s">
        <v>95</v>
      </c>
      <c r="E134" s="34" t="s">
        <v>97</v>
      </c>
      <c r="F134" s="39">
        <f>966146+291776</f>
        <v>1257922</v>
      </c>
      <c r="G134" s="39">
        <f>966146+291776+1</f>
        <v>1257923</v>
      </c>
      <c r="H134" s="39">
        <f>966146+291776</f>
        <v>1257922</v>
      </c>
      <c r="I134" s="39">
        <f t="shared" ref="I134" si="117">+J134-F134</f>
        <v>0</v>
      </c>
      <c r="J134" s="39">
        <f>1112845.3+145076.7</f>
        <v>1257922</v>
      </c>
      <c r="K134" s="39">
        <v>-1257922</v>
      </c>
      <c r="L134" s="39">
        <f>1112845.3+145076.7</f>
        <v>1257922</v>
      </c>
      <c r="M134" s="39"/>
      <c r="N134" s="39"/>
      <c r="O134" s="39">
        <f>1112845.3+145076.7</f>
        <v>1257922</v>
      </c>
      <c r="P134" s="39"/>
      <c r="Q134" s="39">
        <f>Q135</f>
        <v>1279370.99</v>
      </c>
    </row>
    <row r="135" spans="1:20" ht="24.75" x14ac:dyDescent="0.25">
      <c r="A135" s="36" t="s">
        <v>288</v>
      </c>
      <c r="B135" s="37" t="s">
        <v>13</v>
      </c>
      <c r="C135" s="34" t="s">
        <v>93</v>
      </c>
      <c r="D135" s="34" t="s">
        <v>95</v>
      </c>
      <c r="E135" s="34" t="s">
        <v>22</v>
      </c>
      <c r="F135" s="39"/>
      <c r="G135" s="39"/>
      <c r="H135" s="39"/>
      <c r="I135" s="39"/>
      <c r="J135" s="39"/>
      <c r="K135" s="39">
        <v>1257922</v>
      </c>
      <c r="L135" s="39">
        <f>J135+K135</f>
        <v>1257922</v>
      </c>
      <c r="M135" s="116" t="s">
        <v>273</v>
      </c>
      <c r="N135" s="39"/>
      <c r="O135" s="39">
        <f>L135+N135</f>
        <v>1257922</v>
      </c>
      <c r="P135" s="39">
        <v>21448.99</v>
      </c>
      <c r="Q135" s="39">
        <f>O135+P135</f>
        <v>1279370.99</v>
      </c>
    </row>
    <row r="136" spans="1:20" ht="24.75" x14ac:dyDescent="0.25">
      <c r="A136" s="46" t="s">
        <v>44</v>
      </c>
      <c r="B136" s="37" t="s">
        <v>13</v>
      </c>
      <c r="C136" s="34" t="s">
        <v>93</v>
      </c>
      <c r="D136" s="34" t="s">
        <v>95</v>
      </c>
      <c r="E136" s="34" t="s">
        <v>74</v>
      </c>
      <c r="F136" s="39">
        <f>F137</f>
        <v>32310</v>
      </c>
      <c r="G136" s="39">
        <f>G137</f>
        <v>34700</v>
      </c>
      <c r="H136" s="39">
        <f>H137</f>
        <v>37131</v>
      </c>
      <c r="I136" s="39">
        <f t="shared" ref="I136:Q136" si="118">I137</f>
        <v>0</v>
      </c>
      <c r="J136" s="39">
        <f t="shared" si="118"/>
        <v>32310</v>
      </c>
      <c r="K136" s="39">
        <f t="shared" si="118"/>
        <v>0</v>
      </c>
      <c r="L136" s="39">
        <f t="shared" si="118"/>
        <v>32310</v>
      </c>
      <c r="M136" s="39"/>
      <c r="N136" s="39">
        <f t="shared" si="118"/>
        <v>0</v>
      </c>
      <c r="O136" s="39">
        <f t="shared" si="118"/>
        <v>32310</v>
      </c>
      <c r="P136" s="39">
        <f t="shared" si="118"/>
        <v>-13557.04</v>
      </c>
      <c r="Q136" s="39">
        <f t="shared" si="118"/>
        <v>18752.96</v>
      </c>
    </row>
    <row r="137" spans="1:20" ht="36.75" x14ac:dyDescent="0.25">
      <c r="A137" s="47" t="s">
        <v>23</v>
      </c>
      <c r="B137" s="37" t="s">
        <v>13</v>
      </c>
      <c r="C137" s="34" t="s">
        <v>93</v>
      </c>
      <c r="D137" s="34" t="s">
        <v>95</v>
      </c>
      <c r="E137" s="34" t="s">
        <v>24</v>
      </c>
      <c r="F137" s="39">
        <f>26925+5385</f>
        <v>32310</v>
      </c>
      <c r="G137" s="39">
        <f>28917+5783</f>
        <v>34700</v>
      </c>
      <c r="H137" s="39">
        <f>30942+6188+1</f>
        <v>37131</v>
      </c>
      <c r="I137" s="39"/>
      <c r="J137" s="39">
        <v>32310</v>
      </c>
      <c r="K137" s="39"/>
      <c r="L137" s="39">
        <v>32310</v>
      </c>
      <c r="M137" s="39"/>
      <c r="N137" s="39"/>
      <c r="O137" s="39">
        <v>32310</v>
      </c>
      <c r="P137" s="39">
        <v>-13557.04</v>
      </c>
      <c r="Q137" s="39">
        <f>O137+P137</f>
        <v>18752.96</v>
      </c>
    </row>
    <row r="138" spans="1:20" ht="24.75" x14ac:dyDescent="0.25">
      <c r="A138" s="66" t="s">
        <v>98</v>
      </c>
      <c r="B138" s="37" t="s">
        <v>13</v>
      </c>
      <c r="C138" s="34" t="s">
        <v>93</v>
      </c>
      <c r="D138" s="34" t="s">
        <v>56</v>
      </c>
      <c r="E138" s="34"/>
      <c r="F138" s="39">
        <f t="shared" ref="F138:Q139" si="119">F139</f>
        <v>680261</v>
      </c>
      <c r="G138" s="39">
        <f t="shared" si="119"/>
        <v>343358</v>
      </c>
      <c r="H138" s="39">
        <f t="shared" si="119"/>
        <v>360393</v>
      </c>
      <c r="I138" s="39">
        <f t="shared" si="119"/>
        <v>-200000</v>
      </c>
      <c r="J138" s="39">
        <f t="shared" si="119"/>
        <v>480261</v>
      </c>
      <c r="K138" s="39">
        <f t="shared" si="119"/>
        <v>0</v>
      </c>
      <c r="L138" s="39">
        <f t="shared" si="119"/>
        <v>480261</v>
      </c>
      <c r="M138" s="39"/>
      <c r="N138" s="39">
        <f t="shared" si="119"/>
        <v>-171805</v>
      </c>
      <c r="O138" s="39">
        <f>O139+O141</f>
        <v>308456</v>
      </c>
      <c r="P138" s="39">
        <f>P139+P141</f>
        <v>-71956</v>
      </c>
      <c r="Q138" s="39">
        <f>Q139+Q141</f>
        <v>236500</v>
      </c>
    </row>
    <row r="139" spans="1:20" ht="24.75" x14ac:dyDescent="0.25">
      <c r="A139" s="46" t="s">
        <v>44</v>
      </c>
      <c r="B139" s="37" t="s">
        <v>13</v>
      </c>
      <c r="C139" s="34" t="s">
        <v>93</v>
      </c>
      <c r="D139" s="34" t="s">
        <v>56</v>
      </c>
      <c r="E139" s="34" t="s">
        <v>74</v>
      </c>
      <c r="F139" s="39">
        <f t="shared" si="119"/>
        <v>680261</v>
      </c>
      <c r="G139" s="39">
        <f t="shared" si="119"/>
        <v>343358</v>
      </c>
      <c r="H139" s="39">
        <f t="shared" si="119"/>
        <v>360393</v>
      </c>
      <c r="I139" s="39">
        <f t="shared" si="119"/>
        <v>-200000</v>
      </c>
      <c r="J139" s="39">
        <f t="shared" si="119"/>
        <v>480261</v>
      </c>
      <c r="K139" s="39">
        <f t="shared" si="119"/>
        <v>0</v>
      </c>
      <c r="L139" s="39">
        <f t="shared" si="119"/>
        <v>480261</v>
      </c>
      <c r="M139" s="39"/>
      <c r="N139" s="39">
        <f t="shared" si="119"/>
        <v>-171805</v>
      </c>
      <c r="O139" s="39">
        <f t="shared" si="119"/>
        <v>308456</v>
      </c>
      <c r="P139" s="39">
        <f t="shared" si="119"/>
        <v>-214956</v>
      </c>
      <c r="Q139" s="39">
        <f t="shared" si="119"/>
        <v>93500</v>
      </c>
    </row>
    <row r="140" spans="1:20" ht="36.75" x14ac:dyDescent="0.25">
      <c r="A140" s="47" t="s">
        <v>23</v>
      </c>
      <c r="B140" s="37" t="s">
        <v>13</v>
      </c>
      <c r="C140" s="34" t="s">
        <v>93</v>
      </c>
      <c r="D140" s="34" t="s">
        <v>56</v>
      </c>
      <c r="E140" s="34" t="s">
        <v>24</v>
      </c>
      <c r="F140" s="39">
        <v>680261</v>
      </c>
      <c r="G140" s="39">
        <f>243358+100000</f>
        <v>343358</v>
      </c>
      <c r="H140" s="39">
        <f>260393+100000</f>
        <v>360393</v>
      </c>
      <c r="I140" s="39">
        <f t="shared" ref="I140" si="120">+J140-F140</f>
        <v>-200000</v>
      </c>
      <c r="J140" s="39">
        <f>680261-200000</f>
        <v>480261</v>
      </c>
      <c r="K140" s="39"/>
      <c r="L140" s="39">
        <f>680261-200000</f>
        <v>480261</v>
      </c>
      <c r="M140" s="116"/>
      <c r="N140" s="39">
        <v>-171805</v>
      </c>
      <c r="O140" s="39">
        <f>L140+N140</f>
        <v>308456</v>
      </c>
      <c r="P140" s="39">
        <f>-153535.49-61420.51</f>
        <v>-214956</v>
      </c>
      <c r="Q140" s="39">
        <f>O140+P140</f>
        <v>93500</v>
      </c>
    </row>
    <row r="141" spans="1:20" x14ac:dyDescent="0.25">
      <c r="A141" s="41" t="s">
        <v>25</v>
      </c>
      <c r="B141" s="37" t="s">
        <v>13</v>
      </c>
      <c r="C141" s="34" t="s">
        <v>93</v>
      </c>
      <c r="D141" s="34" t="s">
        <v>56</v>
      </c>
      <c r="E141" s="34" t="s">
        <v>26</v>
      </c>
      <c r="F141" s="39"/>
      <c r="G141" s="39"/>
      <c r="H141" s="39"/>
      <c r="I141" s="39"/>
      <c r="J141" s="39"/>
      <c r="K141" s="39"/>
      <c r="L141" s="39"/>
      <c r="M141" s="116"/>
      <c r="N141" s="39"/>
      <c r="O141" s="39">
        <f>O142</f>
        <v>0</v>
      </c>
      <c r="P141" s="39">
        <f>P142</f>
        <v>143000</v>
      </c>
      <c r="Q141" s="39">
        <f>Q142</f>
        <v>143000</v>
      </c>
    </row>
    <row r="142" spans="1:20" ht="36.75" x14ac:dyDescent="0.25">
      <c r="A142" s="47" t="s">
        <v>57</v>
      </c>
      <c r="B142" s="37" t="s">
        <v>13</v>
      </c>
      <c r="C142" s="34" t="s">
        <v>93</v>
      </c>
      <c r="D142" s="34" t="s">
        <v>56</v>
      </c>
      <c r="E142" s="34" t="s">
        <v>77</v>
      </c>
      <c r="F142" s="39"/>
      <c r="G142" s="39"/>
      <c r="H142" s="39"/>
      <c r="I142" s="39"/>
      <c r="J142" s="39"/>
      <c r="K142" s="39"/>
      <c r="L142" s="39"/>
      <c r="M142" s="116"/>
      <c r="N142" s="39"/>
      <c r="O142" s="39"/>
      <c r="P142" s="39">
        <v>143000</v>
      </c>
      <c r="Q142" s="39">
        <f>O142+P142</f>
        <v>143000</v>
      </c>
    </row>
    <row r="143" spans="1:20" x14ac:dyDescent="0.25">
      <c r="A143" s="50" t="s">
        <v>99</v>
      </c>
      <c r="B143" s="33" t="s">
        <v>13</v>
      </c>
      <c r="C143" s="29" t="s">
        <v>100</v>
      </c>
      <c r="D143" s="67"/>
      <c r="E143" s="35"/>
      <c r="F143" s="26">
        <f t="shared" ref="F143:L143" si="121">+F144+F165</f>
        <v>25057894</v>
      </c>
      <c r="G143" s="26">
        <f t="shared" si="121"/>
        <v>18654889</v>
      </c>
      <c r="H143" s="26">
        <f t="shared" si="121"/>
        <v>21400000</v>
      </c>
      <c r="I143" s="26">
        <f t="shared" si="121"/>
        <v>-5550774</v>
      </c>
      <c r="J143" s="26">
        <f t="shared" si="121"/>
        <v>19507120</v>
      </c>
      <c r="K143" s="26">
        <f t="shared" si="121"/>
        <v>-223000</v>
      </c>
      <c r="L143" s="26">
        <f t="shared" si="121"/>
        <v>19284120</v>
      </c>
      <c r="M143" s="26"/>
      <c r="N143" s="26">
        <f>+N144+N165</f>
        <v>-401000</v>
      </c>
      <c r="O143" s="26">
        <f t="shared" ref="O143" si="122">+O144+O165</f>
        <v>18883120</v>
      </c>
      <c r="P143" s="26">
        <f>+P144+P165</f>
        <v>2555612.13</v>
      </c>
      <c r="Q143" s="26">
        <f t="shared" ref="Q143" si="123">+Q144+Q165</f>
        <v>21438732.129999999</v>
      </c>
    </row>
    <row r="144" spans="1:20" x14ac:dyDescent="0.25">
      <c r="A144" s="50" t="s">
        <v>101</v>
      </c>
      <c r="B144" s="33" t="s">
        <v>13</v>
      </c>
      <c r="C144" s="29" t="s">
        <v>102</v>
      </c>
      <c r="D144" s="67"/>
      <c r="E144" s="35"/>
      <c r="F144" s="39">
        <f>+F145+F152</f>
        <v>21498671</v>
      </c>
      <c r="G144" s="39">
        <f>+G145+G152</f>
        <v>17854889</v>
      </c>
      <c r="H144" s="39">
        <f>+H145+H152</f>
        <v>20600000</v>
      </c>
      <c r="I144" s="39">
        <f>+I145+I152+I162</f>
        <v>-4972130</v>
      </c>
      <c r="J144" s="39">
        <f>+J145+J152+J162</f>
        <v>16526541</v>
      </c>
      <c r="K144" s="39">
        <f t="shared" ref="K144:L144" si="124">+K145+K152+K162</f>
        <v>-23000</v>
      </c>
      <c r="L144" s="39">
        <f t="shared" si="124"/>
        <v>16503541</v>
      </c>
      <c r="M144" s="39"/>
      <c r="N144" s="39">
        <f t="shared" ref="N144" si="125">+N145+N152+N162</f>
        <v>-500000</v>
      </c>
      <c r="O144" s="39">
        <f>+O145+O152+O162+O159</f>
        <v>16003541</v>
      </c>
      <c r="P144" s="39">
        <f>+P145+P152+P162</f>
        <v>4790191.38</v>
      </c>
      <c r="Q144" s="39">
        <f>+Q145+Q152+Q162</f>
        <v>20793732.379999999</v>
      </c>
      <c r="R144" s="175">
        <f>Q144-O144</f>
        <v>4790191.379999999</v>
      </c>
      <c r="S144" s="9"/>
    </row>
    <row r="145" spans="1:27" ht="48.75" x14ac:dyDescent="0.25">
      <c r="A145" s="51" t="s">
        <v>103</v>
      </c>
      <c r="B145" s="37" t="s">
        <v>13</v>
      </c>
      <c r="C145" s="34" t="s">
        <v>102</v>
      </c>
      <c r="D145" s="68" t="s">
        <v>104</v>
      </c>
      <c r="E145" s="34"/>
      <c r="F145" s="39">
        <f>F146+F149</f>
        <v>300000</v>
      </c>
      <c r="G145" s="39">
        <f>G146+G149</f>
        <v>0</v>
      </c>
      <c r="H145" s="39">
        <f>H146+H149</f>
        <v>0</v>
      </c>
      <c r="I145" s="39">
        <f t="shared" ref="I145:J145" si="126">I146+I149</f>
        <v>0</v>
      </c>
      <c r="J145" s="39">
        <f t="shared" si="126"/>
        <v>300000</v>
      </c>
      <c r="K145" s="39">
        <f t="shared" ref="K145:L145" si="127">K146+K149</f>
        <v>0</v>
      </c>
      <c r="L145" s="39">
        <f t="shared" si="127"/>
        <v>300000</v>
      </c>
      <c r="M145" s="39"/>
      <c r="N145" s="39">
        <f t="shared" ref="N145:O145" si="128">N146+N149</f>
        <v>0</v>
      </c>
      <c r="O145" s="39">
        <f t="shared" si="128"/>
        <v>300000</v>
      </c>
      <c r="P145" s="39">
        <f t="shared" ref="P145:Q145" si="129">P146+P149</f>
        <v>-89974.92</v>
      </c>
      <c r="Q145" s="39">
        <f t="shared" si="129"/>
        <v>210025.08000000002</v>
      </c>
      <c r="S145" s="9"/>
      <c r="W145" s="9"/>
      <c r="Z145" s="9">
        <f>Q145</f>
        <v>210025.08000000002</v>
      </c>
    </row>
    <row r="146" spans="1:27" x14ac:dyDescent="0.25">
      <c r="A146" s="59" t="s">
        <v>105</v>
      </c>
      <c r="B146" s="37" t="s">
        <v>13</v>
      </c>
      <c r="C146" s="34" t="s">
        <v>102</v>
      </c>
      <c r="D146" s="68" t="s">
        <v>106</v>
      </c>
      <c r="E146" s="34"/>
      <c r="F146" s="39">
        <f t="shared" ref="F146:Q147" si="130">F147</f>
        <v>0</v>
      </c>
      <c r="G146" s="39">
        <f t="shared" si="130"/>
        <v>0</v>
      </c>
      <c r="H146" s="39">
        <f t="shared" si="130"/>
        <v>0</v>
      </c>
      <c r="I146" s="39">
        <f t="shared" si="130"/>
        <v>0</v>
      </c>
      <c r="J146" s="39">
        <f t="shared" si="130"/>
        <v>0</v>
      </c>
      <c r="K146" s="39">
        <f t="shared" si="130"/>
        <v>0</v>
      </c>
      <c r="L146" s="39">
        <f t="shared" si="130"/>
        <v>0</v>
      </c>
      <c r="M146" s="39"/>
      <c r="N146" s="39">
        <f t="shared" si="130"/>
        <v>0</v>
      </c>
      <c r="O146" s="39">
        <f t="shared" si="130"/>
        <v>0</v>
      </c>
      <c r="P146" s="39">
        <f t="shared" si="130"/>
        <v>0</v>
      </c>
      <c r="Q146" s="39">
        <f t="shared" si="130"/>
        <v>0</v>
      </c>
    </row>
    <row r="147" spans="1:27" ht="24.75" x14ac:dyDescent="0.25">
      <c r="A147" s="46" t="s">
        <v>44</v>
      </c>
      <c r="B147" s="37" t="s">
        <v>13</v>
      </c>
      <c r="C147" s="34" t="s">
        <v>102</v>
      </c>
      <c r="D147" s="68" t="s">
        <v>106</v>
      </c>
      <c r="E147" s="34" t="s">
        <v>74</v>
      </c>
      <c r="F147" s="39">
        <f t="shared" si="130"/>
        <v>0</v>
      </c>
      <c r="G147" s="39">
        <f t="shared" si="130"/>
        <v>0</v>
      </c>
      <c r="H147" s="39">
        <f t="shared" si="130"/>
        <v>0</v>
      </c>
      <c r="I147" s="39">
        <f t="shared" si="130"/>
        <v>0</v>
      </c>
      <c r="J147" s="39">
        <f t="shared" si="130"/>
        <v>0</v>
      </c>
      <c r="K147" s="39">
        <f t="shared" si="130"/>
        <v>0</v>
      </c>
      <c r="L147" s="39">
        <f t="shared" si="130"/>
        <v>0</v>
      </c>
      <c r="M147" s="39"/>
      <c r="N147" s="39">
        <f t="shared" si="130"/>
        <v>0</v>
      </c>
      <c r="O147" s="39">
        <f t="shared" si="130"/>
        <v>0</v>
      </c>
      <c r="P147" s="39">
        <f t="shared" si="130"/>
        <v>0</v>
      </c>
      <c r="Q147" s="39">
        <f t="shared" si="130"/>
        <v>0</v>
      </c>
    </row>
    <row r="148" spans="1:27" ht="36.75" x14ac:dyDescent="0.25">
      <c r="A148" s="47" t="s">
        <v>23</v>
      </c>
      <c r="B148" s="37" t="s">
        <v>13</v>
      </c>
      <c r="C148" s="34" t="s">
        <v>102</v>
      </c>
      <c r="D148" s="68" t="s">
        <v>106</v>
      </c>
      <c r="E148" s="34" t="s">
        <v>24</v>
      </c>
      <c r="F148" s="39">
        <f>2768000-2768000</f>
        <v>0</v>
      </c>
      <c r="G148" s="39"/>
      <c r="H148" s="39"/>
      <c r="I148" s="39">
        <f t="shared" ref="I148" si="131">+J148-F148</f>
        <v>0</v>
      </c>
      <c r="J148" s="39"/>
      <c r="K148" s="39">
        <f t="shared" ref="K148" si="132">+L148-H148</f>
        <v>0</v>
      </c>
      <c r="L148" s="39"/>
      <c r="M148" s="39"/>
      <c r="N148" s="39">
        <f t="shared" ref="N148" si="133">+O148-K148</f>
        <v>0</v>
      </c>
      <c r="O148" s="39"/>
      <c r="P148" s="39">
        <f>+Q148-M148</f>
        <v>0</v>
      </c>
      <c r="Q148" s="39"/>
    </row>
    <row r="149" spans="1:27" x14ac:dyDescent="0.25">
      <c r="A149" s="47" t="s">
        <v>107</v>
      </c>
      <c r="B149" s="37" t="s">
        <v>13</v>
      </c>
      <c r="C149" s="34" t="s">
        <v>102</v>
      </c>
      <c r="D149" s="68" t="s">
        <v>108</v>
      </c>
      <c r="E149" s="34"/>
      <c r="F149" s="39">
        <f t="shared" ref="F149:Q150" si="134">F150</f>
        <v>300000</v>
      </c>
      <c r="G149" s="39">
        <f t="shared" si="134"/>
        <v>0</v>
      </c>
      <c r="H149" s="39">
        <f t="shared" si="134"/>
        <v>0</v>
      </c>
      <c r="I149" s="39">
        <f t="shared" si="134"/>
        <v>0</v>
      </c>
      <c r="J149" s="39">
        <f t="shared" si="134"/>
        <v>300000</v>
      </c>
      <c r="K149" s="39">
        <f t="shared" si="134"/>
        <v>0</v>
      </c>
      <c r="L149" s="39">
        <f t="shared" si="134"/>
        <v>300000</v>
      </c>
      <c r="M149" s="39"/>
      <c r="N149" s="39">
        <f t="shared" si="134"/>
        <v>0</v>
      </c>
      <c r="O149" s="39">
        <f t="shared" si="134"/>
        <v>300000</v>
      </c>
      <c r="P149" s="39">
        <f t="shared" si="134"/>
        <v>-89974.92</v>
      </c>
      <c r="Q149" s="39">
        <f t="shared" si="134"/>
        <v>210025.08000000002</v>
      </c>
    </row>
    <row r="150" spans="1:27" ht="24.75" x14ac:dyDescent="0.25">
      <c r="A150" s="46" t="s">
        <v>44</v>
      </c>
      <c r="B150" s="37" t="s">
        <v>13</v>
      </c>
      <c r="C150" s="34" t="s">
        <v>102</v>
      </c>
      <c r="D150" s="68" t="s">
        <v>108</v>
      </c>
      <c r="E150" s="34" t="s">
        <v>74</v>
      </c>
      <c r="F150" s="39">
        <f t="shared" si="134"/>
        <v>300000</v>
      </c>
      <c r="G150" s="39">
        <f t="shared" si="134"/>
        <v>0</v>
      </c>
      <c r="H150" s="39">
        <f t="shared" si="134"/>
        <v>0</v>
      </c>
      <c r="I150" s="39">
        <f t="shared" si="134"/>
        <v>0</v>
      </c>
      <c r="J150" s="39">
        <f t="shared" si="134"/>
        <v>300000</v>
      </c>
      <c r="K150" s="39">
        <f t="shared" si="134"/>
        <v>0</v>
      </c>
      <c r="L150" s="39">
        <f t="shared" si="134"/>
        <v>300000</v>
      </c>
      <c r="M150" s="39"/>
      <c r="N150" s="39">
        <f t="shared" si="134"/>
        <v>0</v>
      </c>
      <c r="O150" s="39">
        <f t="shared" si="134"/>
        <v>300000</v>
      </c>
      <c r="P150" s="39">
        <f t="shared" si="134"/>
        <v>-89974.92</v>
      </c>
      <c r="Q150" s="39">
        <f t="shared" si="134"/>
        <v>210025.08000000002</v>
      </c>
    </row>
    <row r="151" spans="1:27" ht="36.75" x14ac:dyDescent="0.25">
      <c r="A151" s="47" t="s">
        <v>23</v>
      </c>
      <c r="B151" s="37" t="s">
        <v>13</v>
      </c>
      <c r="C151" s="34" t="s">
        <v>102</v>
      </c>
      <c r="D151" s="68" t="s">
        <v>108</v>
      </c>
      <c r="E151" s="34" t="s">
        <v>24</v>
      </c>
      <c r="F151" s="39">
        <v>300000</v>
      </c>
      <c r="G151" s="39"/>
      <c r="H151" s="39"/>
      <c r="I151" s="39">
        <f t="shared" ref="I151" si="135">+J151-F151</f>
        <v>0</v>
      </c>
      <c r="J151" s="39">
        <v>300000</v>
      </c>
      <c r="K151" s="39"/>
      <c r="L151" s="39">
        <v>300000</v>
      </c>
      <c r="M151" s="39"/>
      <c r="N151" s="39"/>
      <c r="O151" s="39">
        <v>300000</v>
      </c>
      <c r="P151" s="39">
        <v>-89974.92</v>
      </c>
      <c r="Q151" s="39">
        <f>O151+P151</f>
        <v>210025.08000000002</v>
      </c>
    </row>
    <row r="152" spans="1:27" ht="36.75" x14ac:dyDescent="0.25">
      <c r="A152" s="51" t="s">
        <v>109</v>
      </c>
      <c r="B152" s="37" t="s">
        <v>13</v>
      </c>
      <c r="C152" s="34" t="s">
        <v>102</v>
      </c>
      <c r="D152" s="35">
        <v>1900000</v>
      </c>
      <c r="E152" s="34"/>
      <c r="F152" s="39">
        <f>F153</f>
        <v>21198671</v>
      </c>
      <c r="G152" s="39">
        <f t="shared" ref="G152:Q154" si="136">G153</f>
        <v>17854889</v>
      </c>
      <c r="H152" s="39">
        <f t="shared" si="136"/>
        <v>20600000</v>
      </c>
      <c r="I152" s="39">
        <f>I153+I156</f>
        <v>-5472130</v>
      </c>
      <c r="J152" s="39">
        <f>J153+J156</f>
        <v>15726541</v>
      </c>
      <c r="K152" s="39">
        <f>K153+K156</f>
        <v>-23000</v>
      </c>
      <c r="L152" s="39">
        <f>L153+L156</f>
        <v>15703541</v>
      </c>
      <c r="M152" s="39"/>
      <c r="N152" s="39">
        <f>N153+N156</f>
        <v>0</v>
      </c>
      <c r="O152" s="39">
        <f>O153+O156</f>
        <v>15703541</v>
      </c>
      <c r="P152" s="39">
        <f>P153+P156+P159</f>
        <v>4880166.3</v>
      </c>
      <c r="Q152" s="39">
        <f>Q153+Q156+Q159</f>
        <v>20583707.300000001</v>
      </c>
      <c r="R152" s="144"/>
      <c r="S152" s="9"/>
      <c r="T152" s="9"/>
      <c r="X152" s="9"/>
      <c r="AA152" s="9">
        <f>Q152</f>
        <v>20583707.300000001</v>
      </c>
    </row>
    <row r="153" spans="1:27" x14ac:dyDescent="0.25">
      <c r="A153" s="59" t="s">
        <v>110</v>
      </c>
      <c r="B153" s="37" t="s">
        <v>13</v>
      </c>
      <c r="C153" s="34" t="s">
        <v>102</v>
      </c>
      <c r="D153" s="35">
        <v>1901901</v>
      </c>
      <c r="E153" s="34"/>
      <c r="F153" s="39">
        <f>F154</f>
        <v>21198671</v>
      </c>
      <c r="G153" s="39">
        <f t="shared" si="136"/>
        <v>17854889</v>
      </c>
      <c r="H153" s="39">
        <f t="shared" si="136"/>
        <v>20600000</v>
      </c>
      <c r="I153" s="39">
        <f t="shared" si="136"/>
        <v>-5482130</v>
      </c>
      <c r="J153" s="39">
        <f t="shared" si="136"/>
        <v>15716541</v>
      </c>
      <c r="K153" s="39">
        <f t="shared" si="136"/>
        <v>-23000</v>
      </c>
      <c r="L153" s="39">
        <f t="shared" si="136"/>
        <v>15693541</v>
      </c>
      <c r="M153" s="39"/>
      <c r="N153" s="39">
        <f t="shared" si="136"/>
        <v>0</v>
      </c>
      <c r="O153" s="39">
        <f t="shared" si="136"/>
        <v>15693541</v>
      </c>
      <c r="P153" s="39">
        <f t="shared" si="136"/>
        <v>-2000795.7</v>
      </c>
      <c r="Q153" s="39">
        <f t="shared" si="136"/>
        <v>13692745.300000001</v>
      </c>
      <c r="R153" s="144"/>
    </row>
    <row r="154" spans="1:27" ht="24.75" x14ac:dyDescent="0.25">
      <c r="A154" s="46" t="s">
        <v>44</v>
      </c>
      <c r="B154" s="37" t="s">
        <v>13</v>
      </c>
      <c r="C154" s="34" t="s">
        <v>102</v>
      </c>
      <c r="D154" s="35">
        <v>1901901</v>
      </c>
      <c r="E154" s="34" t="s">
        <v>74</v>
      </c>
      <c r="F154" s="39">
        <f>F155</f>
        <v>21198671</v>
      </c>
      <c r="G154" s="39">
        <f t="shared" si="136"/>
        <v>17854889</v>
      </c>
      <c r="H154" s="39">
        <f t="shared" si="136"/>
        <v>20600000</v>
      </c>
      <c r="I154" s="39">
        <f t="shared" si="136"/>
        <v>-5482130</v>
      </c>
      <c r="J154" s="39">
        <f t="shared" si="136"/>
        <v>15716541</v>
      </c>
      <c r="K154" s="39">
        <f t="shared" si="136"/>
        <v>-23000</v>
      </c>
      <c r="L154" s="39">
        <f t="shared" si="136"/>
        <v>15693541</v>
      </c>
      <c r="M154" s="39"/>
      <c r="N154" s="39">
        <f t="shared" si="136"/>
        <v>0</v>
      </c>
      <c r="O154" s="39">
        <f t="shared" si="136"/>
        <v>15693541</v>
      </c>
      <c r="P154" s="39">
        <f t="shared" si="136"/>
        <v>-2000795.7</v>
      </c>
      <c r="Q154" s="39">
        <f t="shared" si="136"/>
        <v>13692745.300000001</v>
      </c>
      <c r="R154" s="144"/>
    </row>
    <row r="155" spans="1:27" ht="36.75" x14ac:dyDescent="0.25">
      <c r="A155" s="47" t="s">
        <v>23</v>
      </c>
      <c r="B155" s="37" t="s">
        <v>13</v>
      </c>
      <c r="C155" s="34" t="s">
        <v>102</v>
      </c>
      <c r="D155" s="35">
        <v>1901901</v>
      </c>
      <c r="E155" s="34" t="s">
        <v>24</v>
      </c>
      <c r="F155" s="39">
        <f>24722700-1000000-2608000+83971</f>
        <v>21198671</v>
      </c>
      <c r="G155" s="39">
        <v>17854889</v>
      </c>
      <c r="H155" s="39">
        <v>20600000</v>
      </c>
      <c r="I155" s="39">
        <f t="shared" ref="I155:I163" si="137">+J155-F155</f>
        <v>-5482130</v>
      </c>
      <c r="J155" s="39">
        <v>15716541</v>
      </c>
      <c r="K155" s="39">
        <v>-23000</v>
      </c>
      <c r="L155" s="39">
        <f>+J155+K155</f>
        <v>15693541</v>
      </c>
      <c r="M155" s="116" t="s">
        <v>273</v>
      </c>
      <c r="N155" s="39"/>
      <c r="O155" s="39">
        <f>L155+N155</f>
        <v>15693541</v>
      </c>
      <c r="P155" s="39">
        <f>-165864.3-1834931.4</f>
        <v>-2000795.7</v>
      </c>
      <c r="Q155" s="39">
        <f>O155+P155</f>
        <v>13692745.300000001</v>
      </c>
    </row>
    <row r="156" spans="1:27" ht="24.75" x14ac:dyDescent="0.25">
      <c r="A156" s="59" t="s">
        <v>258</v>
      </c>
      <c r="B156" s="37" t="s">
        <v>13</v>
      </c>
      <c r="C156" s="34" t="s">
        <v>102</v>
      </c>
      <c r="D156" s="35">
        <v>1901905</v>
      </c>
      <c r="E156" s="34"/>
      <c r="F156" s="39"/>
      <c r="G156" s="39"/>
      <c r="H156" s="39"/>
      <c r="I156" s="39">
        <f t="shared" si="137"/>
        <v>10000</v>
      </c>
      <c r="J156" s="39">
        <f>+J157</f>
        <v>10000</v>
      </c>
      <c r="K156" s="39">
        <f>K157</f>
        <v>0</v>
      </c>
      <c r="L156" s="39">
        <f>+L157</f>
        <v>10000</v>
      </c>
      <c r="M156" s="39"/>
      <c r="N156" s="39">
        <f>N157</f>
        <v>0</v>
      </c>
      <c r="O156" s="39">
        <f>+O157</f>
        <v>10000</v>
      </c>
      <c r="P156" s="39">
        <f>P157</f>
        <v>-10000</v>
      </c>
      <c r="Q156" s="39">
        <f>+Q157</f>
        <v>0</v>
      </c>
    </row>
    <row r="157" spans="1:27" ht="24.75" x14ac:dyDescent="0.25">
      <c r="A157" s="46" t="s">
        <v>44</v>
      </c>
      <c r="B157" s="37" t="s">
        <v>13</v>
      </c>
      <c r="C157" s="34" t="s">
        <v>102</v>
      </c>
      <c r="D157" s="35">
        <v>1901905</v>
      </c>
      <c r="E157" s="34" t="s">
        <v>74</v>
      </c>
      <c r="F157" s="39"/>
      <c r="G157" s="39"/>
      <c r="H157" s="39"/>
      <c r="I157" s="39">
        <f t="shared" si="137"/>
        <v>10000</v>
      </c>
      <c r="J157" s="39">
        <f>+J158</f>
        <v>10000</v>
      </c>
      <c r="K157" s="39">
        <f>K158</f>
        <v>0</v>
      </c>
      <c r="L157" s="39">
        <f>+L158</f>
        <v>10000</v>
      </c>
      <c r="M157" s="39"/>
      <c r="N157" s="39">
        <f>N158</f>
        <v>0</v>
      </c>
      <c r="O157" s="39">
        <f>+O158</f>
        <v>10000</v>
      </c>
      <c r="P157" s="39">
        <f>P158</f>
        <v>-10000</v>
      </c>
      <c r="Q157" s="39">
        <f>+Q158</f>
        <v>0</v>
      </c>
    </row>
    <row r="158" spans="1:27" ht="36.75" x14ac:dyDescent="0.25">
      <c r="A158" s="47" t="s">
        <v>23</v>
      </c>
      <c r="B158" s="37" t="s">
        <v>13</v>
      </c>
      <c r="C158" s="34" t="s">
        <v>102</v>
      </c>
      <c r="D158" s="35">
        <v>1901905</v>
      </c>
      <c r="E158" s="34" t="s">
        <v>24</v>
      </c>
      <c r="F158" s="39"/>
      <c r="G158" s="39"/>
      <c r="H158" s="39"/>
      <c r="I158" s="39">
        <f t="shared" si="137"/>
        <v>10000</v>
      </c>
      <c r="J158" s="39">
        <v>10000</v>
      </c>
      <c r="K158" s="39"/>
      <c r="L158" s="39">
        <v>10000</v>
      </c>
      <c r="M158" s="116" t="s">
        <v>273</v>
      </c>
      <c r="N158" s="39"/>
      <c r="O158" s="39">
        <v>10000</v>
      </c>
      <c r="P158" s="39">
        <v>-10000</v>
      </c>
      <c r="Q158" s="39">
        <f>O158+P158</f>
        <v>0</v>
      </c>
    </row>
    <row r="159" spans="1:27" ht="24.75" x14ac:dyDescent="0.25">
      <c r="A159" s="47" t="s">
        <v>329</v>
      </c>
      <c r="B159" s="37" t="s">
        <v>13</v>
      </c>
      <c r="C159" s="34" t="s">
        <v>102</v>
      </c>
      <c r="D159" s="35">
        <v>1908500</v>
      </c>
      <c r="E159" s="34"/>
      <c r="F159" s="39"/>
      <c r="G159" s="39"/>
      <c r="H159" s="39"/>
      <c r="I159" s="39"/>
      <c r="J159" s="39"/>
      <c r="K159" s="39"/>
      <c r="L159" s="39"/>
      <c r="M159" s="116"/>
      <c r="N159" s="39"/>
      <c r="O159" s="39">
        <v>0</v>
      </c>
      <c r="P159" s="39">
        <f>P160</f>
        <v>6890962</v>
      </c>
      <c r="Q159" s="39">
        <f>Q160</f>
        <v>6890962</v>
      </c>
      <c r="AA159" s="9"/>
    </row>
    <row r="160" spans="1:27" ht="24.75" x14ac:dyDescent="0.25">
      <c r="A160" s="46" t="s">
        <v>44</v>
      </c>
      <c r="B160" s="37" t="s">
        <v>13</v>
      </c>
      <c r="C160" s="34" t="s">
        <v>102</v>
      </c>
      <c r="D160" s="35">
        <v>1908500</v>
      </c>
      <c r="E160" s="34" t="s">
        <v>74</v>
      </c>
      <c r="F160" s="39"/>
      <c r="G160" s="39"/>
      <c r="H160" s="39"/>
      <c r="I160" s="39"/>
      <c r="J160" s="39"/>
      <c r="K160" s="39"/>
      <c r="L160" s="39"/>
      <c r="M160" s="116"/>
      <c r="N160" s="39"/>
      <c r="O160" s="39">
        <v>0</v>
      </c>
      <c r="P160" s="39">
        <f>P161</f>
        <v>6890962</v>
      </c>
      <c r="Q160" s="39">
        <f>Q161</f>
        <v>6890962</v>
      </c>
    </row>
    <row r="161" spans="1:37" ht="36" customHeight="1" x14ac:dyDescent="0.25">
      <c r="A161" s="47" t="s">
        <v>23</v>
      </c>
      <c r="B161" s="37" t="s">
        <v>13</v>
      </c>
      <c r="C161" s="34" t="s">
        <v>102</v>
      </c>
      <c r="D161" s="35">
        <v>1908500</v>
      </c>
      <c r="E161" s="34" t="s">
        <v>24</v>
      </c>
      <c r="F161" s="39"/>
      <c r="G161" s="39"/>
      <c r="H161" s="39"/>
      <c r="I161" s="39"/>
      <c r="J161" s="39"/>
      <c r="K161" s="39"/>
      <c r="L161" s="39"/>
      <c r="M161" s="116"/>
      <c r="N161" s="39"/>
      <c r="O161" s="39">
        <v>0</v>
      </c>
      <c r="P161" s="39">
        <v>6890962</v>
      </c>
      <c r="Q161" s="39">
        <f>O161+P161</f>
        <v>6890962</v>
      </c>
    </row>
    <row r="162" spans="1:37" ht="24.75" hidden="1" x14ac:dyDescent="0.25">
      <c r="A162" s="62" t="s">
        <v>265</v>
      </c>
      <c r="B162" s="82" t="s">
        <v>13</v>
      </c>
      <c r="C162" s="74" t="s">
        <v>102</v>
      </c>
      <c r="D162" s="74" t="s">
        <v>266</v>
      </c>
      <c r="E162" s="34"/>
      <c r="F162" s="39"/>
      <c r="G162" s="39"/>
      <c r="H162" s="39"/>
      <c r="I162" s="39">
        <f t="shared" si="137"/>
        <v>500000</v>
      </c>
      <c r="J162" s="39">
        <f>+J164</f>
        <v>500000</v>
      </c>
      <c r="K162" s="39"/>
      <c r="L162" s="39">
        <f>+L164</f>
        <v>500000</v>
      </c>
      <c r="M162" s="39"/>
      <c r="N162" s="39">
        <f>N163</f>
        <v>-500000</v>
      </c>
      <c r="O162" s="39">
        <f>+O164</f>
        <v>0</v>
      </c>
      <c r="P162" s="39">
        <f>P163</f>
        <v>0</v>
      </c>
      <c r="Q162" s="39">
        <f>+Q164</f>
        <v>0</v>
      </c>
      <c r="R162" s="160"/>
    </row>
    <row r="163" spans="1:37" ht="24.75" hidden="1" x14ac:dyDescent="0.25">
      <c r="A163" s="46" t="s">
        <v>44</v>
      </c>
      <c r="B163" s="37" t="s">
        <v>13</v>
      </c>
      <c r="C163" s="34" t="s">
        <v>102</v>
      </c>
      <c r="D163" s="34" t="s">
        <v>266</v>
      </c>
      <c r="E163" s="35">
        <v>200</v>
      </c>
      <c r="F163" s="39"/>
      <c r="G163" s="39"/>
      <c r="H163" s="39"/>
      <c r="I163" s="39">
        <f t="shared" si="137"/>
        <v>500000</v>
      </c>
      <c r="J163" s="39">
        <f>+J164</f>
        <v>500000</v>
      </c>
      <c r="K163" s="39"/>
      <c r="L163" s="39">
        <f>+L164</f>
        <v>500000</v>
      </c>
      <c r="M163" s="39"/>
      <c r="N163" s="39">
        <f>N164</f>
        <v>-500000</v>
      </c>
      <c r="O163" s="39">
        <f>+O164</f>
        <v>0</v>
      </c>
      <c r="P163" s="39">
        <f>P164</f>
        <v>0</v>
      </c>
      <c r="Q163" s="39">
        <f>+Q164</f>
        <v>0</v>
      </c>
    </row>
    <row r="164" spans="1:37" ht="36.75" hidden="1" x14ac:dyDescent="0.25">
      <c r="A164" s="47" t="s">
        <v>23</v>
      </c>
      <c r="B164" s="37" t="s">
        <v>13</v>
      </c>
      <c r="C164" s="34" t="s">
        <v>102</v>
      </c>
      <c r="D164" s="34" t="s">
        <v>266</v>
      </c>
      <c r="E164" s="35">
        <v>240</v>
      </c>
      <c r="F164" s="39"/>
      <c r="G164" s="39"/>
      <c r="H164" s="39"/>
      <c r="I164" s="39">
        <v>500000</v>
      </c>
      <c r="J164" s="39">
        <f>+I164</f>
        <v>500000</v>
      </c>
      <c r="K164" s="39"/>
      <c r="L164" s="39">
        <v>500000</v>
      </c>
      <c r="M164" s="117" t="s">
        <v>274</v>
      </c>
      <c r="N164" s="39">
        <v>-500000</v>
      </c>
      <c r="O164" s="39">
        <f>L164+N164</f>
        <v>0</v>
      </c>
      <c r="P164" s="39"/>
      <c r="Q164" s="39">
        <f>O164+P164</f>
        <v>0</v>
      </c>
    </row>
    <row r="165" spans="1:37" ht="24" x14ac:dyDescent="0.25">
      <c r="A165" s="48" t="s">
        <v>111</v>
      </c>
      <c r="B165" s="33" t="s">
        <v>13</v>
      </c>
      <c r="C165" s="29" t="s">
        <v>112</v>
      </c>
      <c r="D165" s="67"/>
      <c r="E165" s="35"/>
      <c r="F165" s="39">
        <f>F166+F170</f>
        <v>3559223</v>
      </c>
      <c r="G165" s="39">
        <f>G166+G170</f>
        <v>800000</v>
      </c>
      <c r="H165" s="39">
        <f>H166+H170</f>
        <v>800000</v>
      </c>
      <c r="I165" s="39">
        <f t="shared" ref="I165:J165" si="138">I166+I170</f>
        <v>-578644</v>
      </c>
      <c r="J165" s="39">
        <f t="shared" si="138"/>
        <v>2980579</v>
      </c>
      <c r="K165" s="39">
        <f t="shared" ref="K165:L165" si="139">K166+K170</f>
        <v>-200000</v>
      </c>
      <c r="L165" s="39">
        <f t="shared" si="139"/>
        <v>2780579</v>
      </c>
      <c r="M165" s="39"/>
      <c r="N165" s="39">
        <f>N166+N170+N174</f>
        <v>99000</v>
      </c>
      <c r="O165" s="39">
        <f>O166+O170+O174</f>
        <v>2879579</v>
      </c>
      <c r="P165" s="39">
        <f>P166+P170+P174</f>
        <v>-2234579.25</v>
      </c>
      <c r="Q165" s="39">
        <f>Q166+Q170+Q174</f>
        <v>644999.75</v>
      </c>
      <c r="R165" s="172">
        <f>Q165-O165</f>
        <v>-2234579.25</v>
      </c>
    </row>
    <row r="166" spans="1:37" ht="48.75" x14ac:dyDescent="0.25">
      <c r="A166" s="51" t="s">
        <v>103</v>
      </c>
      <c r="B166" s="37" t="s">
        <v>13</v>
      </c>
      <c r="C166" s="34" t="s">
        <v>112</v>
      </c>
      <c r="D166" s="68" t="s">
        <v>104</v>
      </c>
      <c r="E166" s="34"/>
      <c r="F166" s="53">
        <f>F167</f>
        <v>2759223</v>
      </c>
      <c r="G166" s="53">
        <f t="shared" ref="G166:Q168" si="140">G167</f>
        <v>0</v>
      </c>
      <c r="H166" s="53">
        <f t="shared" si="140"/>
        <v>0</v>
      </c>
      <c r="I166" s="53">
        <f t="shared" si="140"/>
        <v>-578644</v>
      </c>
      <c r="J166" s="53">
        <f t="shared" si="140"/>
        <v>2180579</v>
      </c>
      <c r="K166" s="53">
        <f t="shared" si="140"/>
        <v>0</v>
      </c>
      <c r="L166" s="53">
        <f t="shared" si="140"/>
        <v>2180579</v>
      </c>
      <c r="M166" s="53"/>
      <c r="N166" s="53">
        <f t="shared" si="140"/>
        <v>0</v>
      </c>
      <c r="O166" s="53">
        <f>O167</f>
        <v>2180579</v>
      </c>
      <c r="P166" s="53">
        <f t="shared" si="140"/>
        <v>-1876579.25</v>
      </c>
      <c r="Q166" s="53">
        <f>Q167</f>
        <v>303999.75</v>
      </c>
      <c r="R166" s="144"/>
      <c r="S166" s="9"/>
      <c r="W166" s="9"/>
      <c r="Z166" s="9">
        <f>Q166</f>
        <v>303999.75</v>
      </c>
    </row>
    <row r="167" spans="1:37" x14ac:dyDescent="0.25">
      <c r="A167" s="59" t="s">
        <v>105</v>
      </c>
      <c r="B167" s="37" t="s">
        <v>13</v>
      </c>
      <c r="C167" s="34" t="s">
        <v>112</v>
      </c>
      <c r="D167" s="68" t="s">
        <v>106</v>
      </c>
      <c r="E167" s="34"/>
      <c r="F167" s="53">
        <f>F168</f>
        <v>2759223</v>
      </c>
      <c r="G167" s="53">
        <f t="shared" si="140"/>
        <v>0</v>
      </c>
      <c r="H167" s="53">
        <f t="shared" si="140"/>
        <v>0</v>
      </c>
      <c r="I167" s="53">
        <f t="shared" si="140"/>
        <v>-578644</v>
      </c>
      <c r="J167" s="53">
        <f t="shared" si="140"/>
        <v>2180579</v>
      </c>
      <c r="K167" s="53">
        <f t="shared" si="140"/>
        <v>0</v>
      </c>
      <c r="L167" s="53">
        <f t="shared" si="140"/>
        <v>2180579</v>
      </c>
      <c r="M167" s="53"/>
      <c r="N167" s="53">
        <f t="shared" si="140"/>
        <v>0</v>
      </c>
      <c r="O167" s="53">
        <f t="shared" si="140"/>
        <v>2180579</v>
      </c>
      <c r="P167" s="53">
        <f t="shared" si="140"/>
        <v>-1876579.25</v>
      </c>
      <c r="Q167" s="53">
        <f t="shared" si="140"/>
        <v>303999.75</v>
      </c>
    </row>
    <row r="168" spans="1:37" ht="24.75" x14ac:dyDescent="0.25">
      <c r="A168" s="46" t="s">
        <v>44</v>
      </c>
      <c r="B168" s="37" t="s">
        <v>13</v>
      </c>
      <c r="C168" s="34" t="s">
        <v>112</v>
      </c>
      <c r="D168" s="68" t="s">
        <v>106</v>
      </c>
      <c r="E168" s="34" t="s">
        <v>74</v>
      </c>
      <c r="F168" s="53">
        <f>F169</f>
        <v>2759223</v>
      </c>
      <c r="G168" s="53">
        <f t="shared" si="140"/>
        <v>0</v>
      </c>
      <c r="H168" s="53">
        <f t="shared" si="140"/>
        <v>0</v>
      </c>
      <c r="I168" s="53">
        <f t="shared" si="140"/>
        <v>-578644</v>
      </c>
      <c r="J168" s="53">
        <f t="shared" si="140"/>
        <v>2180579</v>
      </c>
      <c r="K168" s="53">
        <f t="shared" si="140"/>
        <v>0</v>
      </c>
      <c r="L168" s="53">
        <f t="shared" si="140"/>
        <v>2180579</v>
      </c>
      <c r="M168" s="53"/>
      <c r="N168" s="53">
        <f t="shared" si="140"/>
        <v>0</v>
      </c>
      <c r="O168" s="53">
        <f t="shared" si="140"/>
        <v>2180579</v>
      </c>
      <c r="P168" s="53">
        <f t="shared" si="140"/>
        <v>-1876579.25</v>
      </c>
      <c r="Q168" s="53">
        <f t="shared" si="140"/>
        <v>303999.75</v>
      </c>
    </row>
    <row r="169" spans="1:37" ht="45.75" x14ac:dyDescent="0.25">
      <c r="A169" s="47" t="s">
        <v>23</v>
      </c>
      <c r="B169" s="37" t="s">
        <v>13</v>
      </c>
      <c r="C169" s="34" t="s">
        <v>112</v>
      </c>
      <c r="D169" s="68" t="s">
        <v>106</v>
      </c>
      <c r="E169" s="34" t="s">
        <v>24</v>
      </c>
      <c r="F169" s="53">
        <f>459223+2300000</f>
        <v>2759223</v>
      </c>
      <c r="G169" s="53"/>
      <c r="H169" s="53"/>
      <c r="I169" s="39">
        <f>-148680-161224-268740</f>
        <v>-578644</v>
      </c>
      <c r="J169" s="53">
        <f>+F169+I169</f>
        <v>2180579</v>
      </c>
      <c r="K169" s="39"/>
      <c r="L169" s="53">
        <f>+J169+K169</f>
        <v>2180579</v>
      </c>
      <c r="M169" s="118" t="s">
        <v>278</v>
      </c>
      <c r="N169" s="39"/>
      <c r="O169" s="53">
        <f>L169</f>
        <v>2180579</v>
      </c>
      <c r="P169" s="39">
        <f>-314570.62-876612.63-338476-346920</f>
        <v>-1876579.25</v>
      </c>
      <c r="Q169" s="53">
        <f>O169+P169</f>
        <v>303999.75</v>
      </c>
    </row>
    <row r="170" spans="1:37" ht="48.75" x14ac:dyDescent="0.25">
      <c r="A170" s="127" t="s">
        <v>113</v>
      </c>
      <c r="B170" s="37" t="s">
        <v>13</v>
      </c>
      <c r="C170" s="34" t="s">
        <v>112</v>
      </c>
      <c r="D170" s="35">
        <v>3800000</v>
      </c>
      <c r="E170" s="34"/>
      <c r="F170" s="39">
        <f>F171</f>
        <v>800000</v>
      </c>
      <c r="G170" s="39">
        <f t="shared" ref="G170:Q172" si="141">G171</f>
        <v>800000</v>
      </c>
      <c r="H170" s="39">
        <f t="shared" si="141"/>
        <v>800000</v>
      </c>
      <c r="I170" s="39">
        <f t="shared" si="141"/>
        <v>0</v>
      </c>
      <c r="J170" s="39">
        <f t="shared" si="141"/>
        <v>800000</v>
      </c>
      <c r="K170" s="39">
        <f t="shared" si="141"/>
        <v>-200000</v>
      </c>
      <c r="L170" s="39">
        <f t="shared" si="141"/>
        <v>600000</v>
      </c>
      <c r="M170" s="39"/>
      <c r="N170" s="39">
        <f t="shared" si="141"/>
        <v>0</v>
      </c>
      <c r="O170" s="39">
        <f>O171</f>
        <v>600000</v>
      </c>
      <c r="P170" s="39">
        <f t="shared" si="141"/>
        <v>-358000</v>
      </c>
      <c r="Q170" s="39">
        <f>Q171</f>
        <v>242000</v>
      </c>
      <c r="U170" s="9"/>
      <c r="X170" s="9">
        <f>Q170</f>
        <v>242000</v>
      </c>
      <c r="AB170" s="9"/>
    </row>
    <row r="171" spans="1:37" x14ac:dyDescent="0.25">
      <c r="A171" s="69" t="s">
        <v>114</v>
      </c>
      <c r="B171" s="37" t="s">
        <v>13</v>
      </c>
      <c r="C171" s="34" t="s">
        <v>112</v>
      </c>
      <c r="D171" s="34" t="s">
        <v>115</v>
      </c>
      <c r="E171" s="34"/>
      <c r="F171" s="39">
        <f>F172</f>
        <v>800000</v>
      </c>
      <c r="G171" s="39">
        <f t="shared" si="141"/>
        <v>800000</v>
      </c>
      <c r="H171" s="39">
        <f t="shared" si="141"/>
        <v>800000</v>
      </c>
      <c r="I171" s="39">
        <f t="shared" si="141"/>
        <v>0</v>
      </c>
      <c r="J171" s="39">
        <f t="shared" si="141"/>
        <v>800000</v>
      </c>
      <c r="K171" s="39">
        <f t="shared" si="141"/>
        <v>-200000</v>
      </c>
      <c r="L171" s="39">
        <f t="shared" si="141"/>
        <v>600000</v>
      </c>
      <c r="M171" s="39"/>
      <c r="N171" s="39">
        <f t="shared" si="141"/>
        <v>0</v>
      </c>
      <c r="O171" s="39">
        <f t="shared" si="141"/>
        <v>600000</v>
      </c>
      <c r="P171" s="39">
        <f t="shared" si="141"/>
        <v>-358000</v>
      </c>
      <c r="Q171" s="39">
        <f t="shared" si="141"/>
        <v>242000</v>
      </c>
    </row>
    <row r="172" spans="1:37" ht="24.75" x14ac:dyDescent="0.25">
      <c r="A172" s="46" t="s">
        <v>44</v>
      </c>
      <c r="B172" s="37" t="s">
        <v>13</v>
      </c>
      <c r="C172" s="34" t="s">
        <v>112</v>
      </c>
      <c r="D172" s="34" t="s">
        <v>115</v>
      </c>
      <c r="E172" s="35">
        <v>200</v>
      </c>
      <c r="F172" s="39">
        <f>F173</f>
        <v>800000</v>
      </c>
      <c r="G172" s="39">
        <f t="shared" si="141"/>
        <v>800000</v>
      </c>
      <c r="H172" s="39">
        <f t="shared" si="141"/>
        <v>800000</v>
      </c>
      <c r="I172" s="39">
        <f t="shared" si="141"/>
        <v>0</v>
      </c>
      <c r="J172" s="39">
        <f t="shared" si="141"/>
        <v>800000</v>
      </c>
      <c r="K172" s="39">
        <f t="shared" si="141"/>
        <v>-200000</v>
      </c>
      <c r="L172" s="39">
        <f t="shared" si="141"/>
        <v>600000</v>
      </c>
      <c r="M172" s="39"/>
      <c r="N172" s="39">
        <f t="shared" si="141"/>
        <v>0</v>
      </c>
      <c r="O172" s="39">
        <f t="shared" si="141"/>
        <v>600000</v>
      </c>
      <c r="P172" s="39">
        <f t="shared" si="141"/>
        <v>-358000</v>
      </c>
      <c r="Q172" s="39">
        <f t="shared" si="141"/>
        <v>242000</v>
      </c>
    </row>
    <row r="173" spans="1:37" ht="36.75" x14ac:dyDescent="0.25">
      <c r="A173" s="47" t="s">
        <v>23</v>
      </c>
      <c r="B173" s="37" t="s">
        <v>13</v>
      </c>
      <c r="C173" s="34" t="s">
        <v>112</v>
      </c>
      <c r="D173" s="34" t="s">
        <v>115</v>
      </c>
      <c r="E173" s="35">
        <v>240</v>
      </c>
      <c r="F173" s="39">
        <f>800000</f>
        <v>800000</v>
      </c>
      <c r="G173" s="39">
        <v>800000</v>
      </c>
      <c r="H173" s="39">
        <v>800000</v>
      </c>
      <c r="I173" s="39">
        <f t="shared" ref="I173" si="142">+J173-F173</f>
        <v>0</v>
      </c>
      <c r="J173" s="39">
        <v>800000</v>
      </c>
      <c r="K173" s="39">
        <v>-200000</v>
      </c>
      <c r="L173" s="39">
        <f>+J173+K173</f>
        <v>600000</v>
      </c>
      <c r="M173" s="39"/>
      <c r="N173" s="39"/>
      <c r="O173" s="39">
        <f>L173</f>
        <v>600000</v>
      </c>
      <c r="P173" s="39">
        <f>-358000</f>
        <v>-358000</v>
      </c>
      <c r="Q173" s="39">
        <f>O173+P173</f>
        <v>242000</v>
      </c>
    </row>
    <row r="174" spans="1:37" ht="24" x14ac:dyDescent="0.25">
      <c r="A174" s="102" t="s">
        <v>111</v>
      </c>
      <c r="B174" s="37" t="s">
        <v>13</v>
      </c>
      <c r="C174" s="34" t="s">
        <v>112</v>
      </c>
      <c r="D174" s="34" t="s">
        <v>315</v>
      </c>
      <c r="E174" s="35"/>
      <c r="F174" s="39"/>
      <c r="G174" s="39"/>
      <c r="H174" s="39"/>
      <c r="I174" s="39"/>
      <c r="J174" s="39"/>
      <c r="K174" s="39"/>
      <c r="L174" s="39">
        <f>L179</f>
        <v>0</v>
      </c>
      <c r="M174" s="39"/>
      <c r="N174" s="39">
        <f>N179+N176</f>
        <v>99000</v>
      </c>
      <c r="O174" s="39">
        <f>O179+O176</f>
        <v>99000</v>
      </c>
      <c r="P174" s="39">
        <f>P179+P176</f>
        <v>0</v>
      </c>
      <c r="Q174" s="39">
        <f>Q179+Q176</f>
        <v>99000</v>
      </c>
      <c r="R174" s="160"/>
      <c r="AC174" s="9"/>
    </row>
    <row r="175" spans="1:37" ht="36.75" x14ac:dyDescent="0.25">
      <c r="A175" s="51" t="s">
        <v>327</v>
      </c>
      <c r="B175" s="37" t="s">
        <v>13</v>
      </c>
      <c r="C175" s="34" t="s">
        <v>112</v>
      </c>
      <c r="D175" s="34" t="s">
        <v>328</v>
      </c>
      <c r="E175" s="35"/>
      <c r="F175" s="39"/>
      <c r="G175" s="39"/>
      <c r="H175" s="39"/>
      <c r="I175" s="39"/>
      <c r="J175" s="39"/>
      <c r="K175" s="39"/>
      <c r="L175" s="39"/>
      <c r="M175" s="39"/>
      <c r="N175" s="39"/>
      <c r="O175" s="39">
        <f>O176+O179</f>
        <v>99000</v>
      </c>
      <c r="P175" s="39">
        <v>0</v>
      </c>
      <c r="Q175" s="39">
        <f>Q176+Q179</f>
        <v>99000</v>
      </c>
      <c r="R175" s="178"/>
      <c r="AC175" s="9"/>
      <c r="AK175" s="172">
        <f>Q175</f>
        <v>99000</v>
      </c>
    </row>
    <row r="176" spans="1:37" ht="24.75" x14ac:dyDescent="0.25">
      <c r="A176" s="47" t="s">
        <v>296</v>
      </c>
      <c r="B176" s="37" t="s">
        <v>13</v>
      </c>
      <c r="C176" s="34" t="s">
        <v>112</v>
      </c>
      <c r="D176" s="34" t="s">
        <v>293</v>
      </c>
      <c r="E176" s="35"/>
      <c r="F176" s="39"/>
      <c r="G176" s="39"/>
      <c r="H176" s="39"/>
      <c r="I176" s="39"/>
      <c r="J176" s="39"/>
      <c r="K176" s="39"/>
      <c r="L176" s="39"/>
      <c r="M176" s="39"/>
      <c r="N176" s="39">
        <f t="shared" ref="N176:Q177" si="143">N177</f>
        <v>35347.32</v>
      </c>
      <c r="O176" s="39">
        <f t="shared" si="143"/>
        <v>35347.32</v>
      </c>
      <c r="P176" s="39">
        <f t="shared" si="143"/>
        <v>0</v>
      </c>
      <c r="Q176" s="39">
        <f t="shared" si="143"/>
        <v>35347.32</v>
      </c>
      <c r="AC176" s="172"/>
      <c r="AK176" s="9"/>
    </row>
    <row r="177" spans="1:29" ht="24.75" x14ac:dyDescent="0.25">
      <c r="A177" s="46" t="s">
        <v>44</v>
      </c>
      <c r="B177" s="37" t="s">
        <v>13</v>
      </c>
      <c r="C177" s="34" t="s">
        <v>112</v>
      </c>
      <c r="D177" s="34" t="s">
        <v>293</v>
      </c>
      <c r="E177" s="35">
        <v>200</v>
      </c>
      <c r="F177" s="39"/>
      <c r="G177" s="39"/>
      <c r="H177" s="39"/>
      <c r="I177" s="39"/>
      <c r="J177" s="39"/>
      <c r="K177" s="39"/>
      <c r="L177" s="39">
        <f>L178</f>
        <v>0</v>
      </c>
      <c r="M177" s="39"/>
      <c r="N177" s="39">
        <f t="shared" si="143"/>
        <v>35347.32</v>
      </c>
      <c r="O177" s="39">
        <f t="shared" si="143"/>
        <v>35347.32</v>
      </c>
      <c r="P177" s="39">
        <f t="shared" si="143"/>
        <v>0</v>
      </c>
      <c r="Q177" s="39">
        <f t="shared" si="143"/>
        <v>35347.32</v>
      </c>
    </row>
    <row r="178" spans="1:29" ht="36.75" x14ac:dyDescent="0.25">
      <c r="A178" s="47" t="s">
        <v>23</v>
      </c>
      <c r="B178" s="37" t="s">
        <v>13</v>
      </c>
      <c r="C178" s="34" t="s">
        <v>112</v>
      </c>
      <c r="D178" s="34" t="s">
        <v>293</v>
      </c>
      <c r="E178" s="35">
        <v>240</v>
      </c>
      <c r="F178" s="39"/>
      <c r="G178" s="39"/>
      <c r="H178" s="39"/>
      <c r="I178" s="39"/>
      <c r="J178" s="39"/>
      <c r="K178" s="39"/>
      <c r="L178" s="39"/>
      <c r="M178" s="39"/>
      <c r="N178" s="39">
        <v>35347.32</v>
      </c>
      <c r="O178" s="39">
        <f>L178+N178</f>
        <v>35347.32</v>
      </c>
      <c r="P178" s="39"/>
      <c r="Q178" s="39">
        <f>N178+P178</f>
        <v>35347.32</v>
      </c>
    </row>
    <row r="179" spans="1:29" ht="48.75" x14ac:dyDescent="0.25">
      <c r="A179" s="47" t="s">
        <v>314</v>
      </c>
      <c r="B179" s="37" t="s">
        <v>13</v>
      </c>
      <c r="C179" s="34" t="s">
        <v>112</v>
      </c>
      <c r="D179" s="34" t="s">
        <v>316</v>
      </c>
      <c r="E179" s="35"/>
      <c r="F179" s="39"/>
      <c r="G179" s="39"/>
      <c r="H179" s="39"/>
      <c r="I179" s="39"/>
      <c r="J179" s="39"/>
      <c r="K179" s="39"/>
      <c r="L179" s="39">
        <f>L180</f>
        <v>0</v>
      </c>
      <c r="M179" s="39"/>
      <c r="N179" s="39">
        <f t="shared" ref="N179:Q180" si="144">N180</f>
        <v>63652.68</v>
      </c>
      <c r="O179" s="39">
        <f t="shared" si="144"/>
        <v>63652.68</v>
      </c>
      <c r="P179" s="39">
        <f t="shared" si="144"/>
        <v>0</v>
      </c>
      <c r="Q179" s="39">
        <f t="shared" si="144"/>
        <v>63652.68</v>
      </c>
      <c r="R179" s="159"/>
    </row>
    <row r="180" spans="1:29" ht="24.75" x14ac:dyDescent="0.25">
      <c r="A180" s="46" t="s">
        <v>44</v>
      </c>
      <c r="B180" s="37" t="s">
        <v>13</v>
      </c>
      <c r="C180" s="34" t="s">
        <v>112</v>
      </c>
      <c r="D180" s="34" t="s">
        <v>316</v>
      </c>
      <c r="E180" s="35">
        <v>200</v>
      </c>
      <c r="F180" s="39"/>
      <c r="G180" s="39"/>
      <c r="H180" s="39"/>
      <c r="I180" s="39"/>
      <c r="J180" s="39"/>
      <c r="K180" s="39"/>
      <c r="L180" s="39">
        <f>L181</f>
        <v>0</v>
      </c>
      <c r="M180" s="39"/>
      <c r="N180" s="39">
        <f t="shared" si="144"/>
        <v>63652.68</v>
      </c>
      <c r="O180" s="39">
        <f t="shared" si="144"/>
        <v>63652.68</v>
      </c>
      <c r="P180" s="39">
        <f t="shared" si="144"/>
        <v>0</v>
      </c>
      <c r="Q180" s="39">
        <f t="shared" si="144"/>
        <v>63652.68</v>
      </c>
    </row>
    <row r="181" spans="1:29" ht="36.75" x14ac:dyDescent="0.25">
      <c r="A181" s="47" t="s">
        <v>23</v>
      </c>
      <c r="B181" s="37" t="s">
        <v>13</v>
      </c>
      <c r="C181" s="34" t="s">
        <v>112</v>
      </c>
      <c r="D181" s="34" t="s">
        <v>316</v>
      </c>
      <c r="E181" s="35">
        <v>240</v>
      </c>
      <c r="F181" s="39"/>
      <c r="G181" s="39"/>
      <c r="H181" s="39"/>
      <c r="I181" s="39"/>
      <c r="J181" s="39"/>
      <c r="K181" s="39"/>
      <c r="L181" s="39"/>
      <c r="M181" s="39"/>
      <c r="N181" s="39">
        <v>63652.68</v>
      </c>
      <c r="O181" s="39">
        <f>L181+N181</f>
        <v>63652.68</v>
      </c>
      <c r="P181" s="39"/>
      <c r="Q181" s="39">
        <f>N181+P181</f>
        <v>63652.68</v>
      </c>
      <c r="AC181" s="9"/>
    </row>
    <row r="182" spans="1:29" x14ac:dyDescent="0.25">
      <c r="A182" s="50" t="s">
        <v>116</v>
      </c>
      <c r="B182" s="33" t="s">
        <v>13</v>
      </c>
      <c r="C182" s="29" t="s">
        <v>117</v>
      </c>
      <c r="D182" s="35"/>
      <c r="E182" s="34"/>
      <c r="F182" s="26">
        <f t="shared" ref="F182:L182" si="145">F183+F207+F258</f>
        <v>81723330</v>
      </c>
      <c r="G182" s="26">
        <f t="shared" si="145"/>
        <v>40875393</v>
      </c>
      <c r="H182" s="26">
        <f t="shared" si="145"/>
        <v>40395920</v>
      </c>
      <c r="I182" s="26">
        <f t="shared" si="145"/>
        <v>11675844</v>
      </c>
      <c r="J182" s="26">
        <f t="shared" si="145"/>
        <v>93399174</v>
      </c>
      <c r="K182" s="26">
        <f t="shared" si="145"/>
        <v>39160736</v>
      </c>
      <c r="L182" s="26">
        <f t="shared" si="145"/>
        <v>132559910</v>
      </c>
      <c r="M182" s="26"/>
      <c r="N182" s="26">
        <f>N183+N207+N258</f>
        <v>5376187.9799999995</v>
      </c>
      <c r="O182" s="26">
        <f>O183+O207+O258</f>
        <v>137936097.98000002</v>
      </c>
      <c r="P182" s="26">
        <f>P183+P207+P258</f>
        <v>-38555834.539999999</v>
      </c>
      <c r="Q182" s="26">
        <f>Q183+Q207+Q258</f>
        <v>99380263.439999998</v>
      </c>
      <c r="R182" s="144">
        <v>97430381.069999993</v>
      </c>
      <c r="S182" s="9"/>
    </row>
    <row r="183" spans="1:29" x14ac:dyDescent="0.25">
      <c r="A183" s="50" t="s">
        <v>118</v>
      </c>
      <c r="B183" s="33" t="s">
        <v>13</v>
      </c>
      <c r="C183" s="29" t="s">
        <v>119</v>
      </c>
      <c r="D183" s="35"/>
      <c r="E183" s="35"/>
      <c r="F183" s="26">
        <f>F188+F198</f>
        <v>10778715</v>
      </c>
      <c r="G183" s="26">
        <f>G188+G198</f>
        <v>5777140</v>
      </c>
      <c r="H183" s="26">
        <f>H188+H198</f>
        <v>2809769</v>
      </c>
      <c r="I183" s="26">
        <f>I188+I198+I187+I204</f>
        <v>1183847</v>
      </c>
      <c r="J183" s="26">
        <f>J188+J198+J187+J204</f>
        <v>11962562</v>
      </c>
      <c r="K183" s="26">
        <f>K188+K198+K187+K204</f>
        <v>-100000</v>
      </c>
      <c r="L183" s="26">
        <f>L188+L198+L187+L204</f>
        <v>11862562</v>
      </c>
      <c r="M183" s="26"/>
      <c r="N183" s="26">
        <f>N188+N198+N187+N204</f>
        <v>0</v>
      </c>
      <c r="O183" s="26">
        <f>O188+O198+O187+O204</f>
        <v>11862562</v>
      </c>
      <c r="P183" s="26">
        <f>P188+P198+P187+P204</f>
        <v>-3972088.82</v>
      </c>
      <c r="Q183" s="26">
        <f>Q188+Q198+Q187+Q204</f>
        <v>7890473.1799999997</v>
      </c>
      <c r="R183" s="172">
        <f>Q183-O183</f>
        <v>-3972088.8200000003</v>
      </c>
    </row>
    <row r="184" spans="1:29" ht="36.75" x14ac:dyDescent="0.25">
      <c r="A184" s="51" t="s">
        <v>47</v>
      </c>
      <c r="B184" s="33" t="s">
        <v>13</v>
      </c>
      <c r="C184" s="29" t="s">
        <v>119</v>
      </c>
      <c r="D184" s="34" t="s">
        <v>50</v>
      </c>
      <c r="E184" s="35"/>
      <c r="F184" s="26"/>
      <c r="G184" s="26"/>
      <c r="H184" s="26"/>
      <c r="I184" s="26">
        <f>+I185</f>
        <v>14809</v>
      </c>
      <c r="J184" s="26">
        <f>+J185</f>
        <v>14809</v>
      </c>
      <c r="K184" s="26">
        <f>+K185</f>
        <v>0</v>
      </c>
      <c r="L184" s="26">
        <f>+L185</f>
        <v>14809</v>
      </c>
      <c r="M184" s="26"/>
      <c r="N184" s="26">
        <f>+N185</f>
        <v>0</v>
      </c>
      <c r="O184" s="26">
        <f>+O185</f>
        <v>14809</v>
      </c>
      <c r="P184" s="26">
        <f>+P185</f>
        <v>0</v>
      </c>
      <c r="Q184" s="26">
        <f>+Q185</f>
        <v>14809</v>
      </c>
      <c r="R184" s="144"/>
      <c r="T184" s="9">
        <f>Q184</f>
        <v>14809</v>
      </c>
    </row>
    <row r="185" spans="1:29" x14ac:dyDescent="0.25">
      <c r="A185" s="50" t="s">
        <v>49</v>
      </c>
      <c r="B185" s="33" t="s">
        <v>13</v>
      </c>
      <c r="C185" s="29" t="s">
        <v>119</v>
      </c>
      <c r="D185" s="34" t="s">
        <v>50</v>
      </c>
      <c r="E185" s="35"/>
      <c r="F185" s="26"/>
      <c r="G185" s="26"/>
      <c r="H185" s="26"/>
      <c r="I185" s="39">
        <f t="shared" ref="I185:I187" si="146">+J185-F185</f>
        <v>14809</v>
      </c>
      <c r="J185" s="53">
        <f>+J186</f>
        <v>14809</v>
      </c>
      <c r="K185" s="39">
        <f>K186</f>
        <v>0</v>
      </c>
      <c r="L185" s="53">
        <f>+L186</f>
        <v>14809</v>
      </c>
      <c r="M185" s="26"/>
      <c r="N185" s="39">
        <f>N186</f>
        <v>0</v>
      </c>
      <c r="O185" s="53">
        <f>+O186</f>
        <v>14809</v>
      </c>
      <c r="P185" s="39">
        <f>P186</f>
        <v>0</v>
      </c>
      <c r="Q185" s="53">
        <f>+Q186</f>
        <v>14809</v>
      </c>
    </row>
    <row r="186" spans="1:29" ht="24.75" x14ac:dyDescent="0.25">
      <c r="A186" s="46" t="s">
        <v>44</v>
      </c>
      <c r="B186" s="86" t="s">
        <v>13</v>
      </c>
      <c r="C186" s="52" t="s">
        <v>119</v>
      </c>
      <c r="D186" s="34" t="s">
        <v>50</v>
      </c>
      <c r="E186" s="35">
        <v>200</v>
      </c>
      <c r="F186" s="26"/>
      <c r="G186" s="26"/>
      <c r="H186" s="26"/>
      <c r="I186" s="39">
        <f t="shared" si="146"/>
        <v>14809</v>
      </c>
      <c r="J186" s="53">
        <f>+J187</f>
        <v>14809</v>
      </c>
      <c r="K186" s="39">
        <f>K187</f>
        <v>0</v>
      </c>
      <c r="L186" s="53">
        <f>+L187</f>
        <v>14809</v>
      </c>
      <c r="M186" s="26"/>
      <c r="N186" s="39">
        <f>N187</f>
        <v>0</v>
      </c>
      <c r="O186" s="53">
        <f>+O187</f>
        <v>14809</v>
      </c>
      <c r="P186" s="39">
        <f>P187</f>
        <v>0</v>
      </c>
      <c r="Q186" s="53">
        <f>+Q187</f>
        <v>14809</v>
      </c>
    </row>
    <row r="187" spans="1:29" ht="36.75" x14ac:dyDescent="0.25">
      <c r="A187" s="47" t="s">
        <v>23</v>
      </c>
      <c r="B187" s="86" t="s">
        <v>13</v>
      </c>
      <c r="C187" s="52" t="s">
        <v>119</v>
      </c>
      <c r="D187" s="34" t="s">
        <v>50</v>
      </c>
      <c r="E187" s="35">
        <v>240</v>
      </c>
      <c r="F187" s="26"/>
      <c r="G187" s="26"/>
      <c r="H187" s="26"/>
      <c r="I187" s="39">
        <f t="shared" si="146"/>
        <v>14809</v>
      </c>
      <c r="J187" s="53">
        <v>14809</v>
      </c>
      <c r="K187" s="39"/>
      <c r="L187" s="53">
        <v>14809</v>
      </c>
      <c r="M187" s="116" t="s">
        <v>273</v>
      </c>
      <c r="N187" s="39"/>
      <c r="O187" s="53">
        <v>14809</v>
      </c>
      <c r="P187" s="39"/>
      <c r="Q187" s="53">
        <v>14809</v>
      </c>
    </row>
    <row r="188" spans="1:29" ht="48.75" x14ac:dyDescent="0.25">
      <c r="A188" s="51" t="s">
        <v>120</v>
      </c>
      <c r="B188" s="37" t="s">
        <v>13</v>
      </c>
      <c r="C188" s="34" t="s">
        <v>119</v>
      </c>
      <c r="D188" s="34" t="s">
        <v>121</v>
      </c>
      <c r="E188" s="34"/>
      <c r="F188" s="39">
        <f>+F189+F193+F195</f>
        <v>10678715</v>
      </c>
      <c r="G188" s="39">
        <f>+G189+G193+G195</f>
        <v>5677140</v>
      </c>
      <c r="H188" s="39">
        <f>+H189+H193+H195</f>
        <v>2709769</v>
      </c>
      <c r="I188" s="39">
        <f t="shared" ref="I188:J188" si="147">+I189+I193+I195</f>
        <v>995121</v>
      </c>
      <c r="J188" s="39">
        <f t="shared" si="147"/>
        <v>11673836</v>
      </c>
      <c r="K188" s="39">
        <f t="shared" ref="K188:L188" si="148">+K189+K193+K195</f>
        <v>0</v>
      </c>
      <c r="L188" s="39">
        <f t="shared" si="148"/>
        <v>11673836</v>
      </c>
      <c r="M188" s="39"/>
      <c r="N188" s="39">
        <f t="shared" ref="N188:O188" si="149">+N189+N193+N195</f>
        <v>0</v>
      </c>
      <c r="O188" s="39">
        <f t="shared" si="149"/>
        <v>11673836</v>
      </c>
      <c r="P188" s="39">
        <f t="shared" ref="P188:Q188" si="150">+P189+P193+P195</f>
        <v>-4169375.42</v>
      </c>
      <c r="Q188" s="39">
        <f t="shared" si="150"/>
        <v>7504460.5800000001</v>
      </c>
      <c r="U188" s="9"/>
      <c r="Y188" s="9"/>
      <c r="AB188" s="9">
        <f>Q188</f>
        <v>7504460.5800000001</v>
      </c>
    </row>
    <row r="189" spans="1:29" ht="36.75" x14ac:dyDescent="0.25">
      <c r="A189" s="70" t="s">
        <v>122</v>
      </c>
      <c r="B189" s="37" t="s">
        <v>13</v>
      </c>
      <c r="C189" s="34" t="s">
        <v>119</v>
      </c>
      <c r="D189" s="34" t="s">
        <v>123</v>
      </c>
      <c r="E189" s="34"/>
      <c r="F189" s="39">
        <f>F190</f>
        <v>5866250</v>
      </c>
      <c r="G189" s="39">
        <f>G190</f>
        <v>0</v>
      </c>
      <c r="H189" s="39">
        <f>H190</f>
        <v>0</v>
      </c>
      <c r="I189" s="39">
        <f t="shared" ref="I189:Q189" si="151">I190</f>
        <v>2524938</v>
      </c>
      <c r="J189" s="39">
        <f t="shared" si="151"/>
        <v>8391188</v>
      </c>
      <c r="K189" s="39">
        <f t="shared" si="151"/>
        <v>0</v>
      </c>
      <c r="L189" s="39">
        <f t="shared" si="151"/>
        <v>8391188</v>
      </c>
      <c r="M189" s="39"/>
      <c r="N189" s="39">
        <f t="shared" si="151"/>
        <v>0</v>
      </c>
      <c r="O189" s="39">
        <f t="shared" si="151"/>
        <v>8391188</v>
      </c>
      <c r="P189" s="39">
        <f t="shared" si="151"/>
        <v>-886727.42</v>
      </c>
      <c r="Q189" s="39">
        <f t="shared" si="151"/>
        <v>7504460.5800000001</v>
      </c>
    </row>
    <row r="190" spans="1:29" x14ac:dyDescent="0.25">
      <c r="A190" s="47" t="s">
        <v>25</v>
      </c>
      <c r="B190" s="37" t="s">
        <v>13</v>
      </c>
      <c r="C190" s="34" t="s">
        <v>119</v>
      </c>
      <c r="D190" s="34" t="s">
        <v>123</v>
      </c>
      <c r="E190" s="34" t="s">
        <v>26</v>
      </c>
      <c r="F190" s="39">
        <f>+F191</f>
        <v>5866250</v>
      </c>
      <c r="G190" s="39">
        <f>+G191</f>
        <v>0</v>
      </c>
      <c r="H190" s="39">
        <f>+H191</f>
        <v>0</v>
      </c>
      <c r="I190" s="39">
        <f t="shared" ref="I190:Q190" si="152">+I191</f>
        <v>2524938</v>
      </c>
      <c r="J190" s="39">
        <f t="shared" si="152"/>
        <v>8391188</v>
      </c>
      <c r="K190" s="39">
        <f t="shared" si="152"/>
        <v>0</v>
      </c>
      <c r="L190" s="39">
        <f t="shared" si="152"/>
        <v>8391188</v>
      </c>
      <c r="M190" s="39"/>
      <c r="N190" s="39">
        <f t="shared" si="152"/>
        <v>0</v>
      </c>
      <c r="O190" s="39">
        <f t="shared" si="152"/>
        <v>8391188</v>
      </c>
      <c r="P190" s="39">
        <f t="shared" si="152"/>
        <v>-886727.42</v>
      </c>
      <c r="Q190" s="39">
        <f t="shared" si="152"/>
        <v>7504460.5800000001</v>
      </c>
    </row>
    <row r="191" spans="1:29" ht="36.75" x14ac:dyDescent="0.25">
      <c r="A191" s="47" t="s">
        <v>57</v>
      </c>
      <c r="B191" s="37" t="s">
        <v>13</v>
      </c>
      <c r="C191" s="34" t="s">
        <v>119</v>
      </c>
      <c r="D191" s="34" t="s">
        <v>123</v>
      </c>
      <c r="E191" s="34" t="s">
        <v>77</v>
      </c>
      <c r="F191" s="39">
        <v>5866250</v>
      </c>
      <c r="G191" s="39"/>
      <c r="H191" s="39"/>
      <c r="I191" s="39">
        <f t="shared" ref="I191" si="153">+J191-F191</f>
        <v>2524938</v>
      </c>
      <c r="J191" s="39">
        <f>5866250+787863+600000+64636+100000+230485+741954</f>
        <v>8391188</v>
      </c>
      <c r="K191" s="39"/>
      <c r="L191" s="39">
        <f>5866250+787863+600000+64636+100000+230485+741954</f>
        <v>8391188</v>
      </c>
      <c r="M191" s="39"/>
      <c r="N191" s="39"/>
      <c r="O191" s="164">
        <f>L191+N191</f>
        <v>8391188</v>
      </c>
      <c r="P191" s="39">
        <v>-886727.42</v>
      </c>
      <c r="Q191" s="39">
        <f>O191+P191</f>
        <v>7504460.5800000001</v>
      </c>
      <c r="R191" s="166"/>
    </row>
    <row r="192" spans="1:29" ht="48.75" x14ac:dyDescent="0.25">
      <c r="A192" s="71" t="s">
        <v>124</v>
      </c>
      <c r="B192" s="37" t="s">
        <v>13</v>
      </c>
      <c r="C192" s="34" t="s">
        <v>119</v>
      </c>
      <c r="D192" s="34" t="s">
        <v>125</v>
      </c>
      <c r="E192" s="34"/>
      <c r="F192" s="39">
        <f t="shared" ref="F192:Q193" si="154">F193</f>
        <v>3000000</v>
      </c>
      <c r="G192" s="39">
        <f t="shared" si="154"/>
        <v>2940000</v>
      </c>
      <c r="H192" s="39">
        <f t="shared" si="154"/>
        <v>0</v>
      </c>
      <c r="I192" s="39">
        <f t="shared" si="154"/>
        <v>-741954</v>
      </c>
      <c r="J192" s="39">
        <f t="shared" si="154"/>
        <v>2258046</v>
      </c>
      <c r="K192" s="39">
        <f t="shared" si="154"/>
        <v>0</v>
      </c>
      <c r="L192" s="39">
        <f t="shared" si="154"/>
        <v>2258046</v>
      </c>
      <c r="M192" s="39"/>
      <c r="N192" s="39">
        <f t="shared" si="154"/>
        <v>0</v>
      </c>
      <c r="O192" s="39">
        <f t="shared" si="154"/>
        <v>2258046</v>
      </c>
      <c r="P192" s="39">
        <f t="shared" si="154"/>
        <v>-2258046</v>
      </c>
      <c r="Q192" s="39">
        <f t="shared" si="154"/>
        <v>0</v>
      </c>
    </row>
    <row r="193" spans="1:28" x14ac:dyDescent="0.25">
      <c r="A193" s="47" t="s">
        <v>25</v>
      </c>
      <c r="B193" s="37" t="s">
        <v>13</v>
      </c>
      <c r="C193" s="34" t="s">
        <v>119</v>
      </c>
      <c r="D193" s="34" t="s">
        <v>125</v>
      </c>
      <c r="E193" s="34" t="s">
        <v>26</v>
      </c>
      <c r="F193" s="39">
        <f t="shared" si="154"/>
        <v>3000000</v>
      </c>
      <c r="G193" s="39">
        <f t="shared" si="154"/>
        <v>2940000</v>
      </c>
      <c r="H193" s="39">
        <f t="shared" si="154"/>
        <v>0</v>
      </c>
      <c r="I193" s="39">
        <f t="shared" si="154"/>
        <v>-741954</v>
      </c>
      <c r="J193" s="39">
        <f t="shared" si="154"/>
        <v>2258046</v>
      </c>
      <c r="K193" s="39">
        <f t="shared" si="154"/>
        <v>0</v>
      </c>
      <c r="L193" s="39">
        <f t="shared" si="154"/>
        <v>2258046</v>
      </c>
      <c r="M193" s="39"/>
      <c r="N193" s="39">
        <f t="shared" si="154"/>
        <v>0</v>
      </c>
      <c r="O193" s="39">
        <f t="shared" si="154"/>
        <v>2258046</v>
      </c>
      <c r="P193" s="39">
        <f>P194</f>
        <v>-2258046</v>
      </c>
      <c r="Q193" s="39">
        <f>Q194</f>
        <v>0</v>
      </c>
    </row>
    <row r="194" spans="1:28" ht="36.75" x14ac:dyDescent="0.25">
      <c r="A194" s="47" t="s">
        <v>57</v>
      </c>
      <c r="B194" s="37" t="s">
        <v>13</v>
      </c>
      <c r="C194" s="34" t="s">
        <v>119</v>
      </c>
      <c r="D194" s="34" t="s">
        <v>125</v>
      </c>
      <c r="E194" s="34" t="s">
        <v>77</v>
      </c>
      <c r="F194" s="39">
        <v>3000000</v>
      </c>
      <c r="G194" s="39">
        <f>+F194*0.98</f>
        <v>2940000</v>
      </c>
      <c r="H194" s="39"/>
      <c r="I194" s="39">
        <f t="shared" ref="I194" si="155">+J194-F194</f>
        <v>-741954</v>
      </c>
      <c r="J194" s="39">
        <f>3000000-741954</f>
        <v>2258046</v>
      </c>
      <c r="K194" s="39"/>
      <c r="L194" s="39">
        <f>3000000-741954</f>
        <v>2258046</v>
      </c>
      <c r="M194" s="115" t="s">
        <v>277</v>
      </c>
      <c r="N194" s="39"/>
      <c r="O194" s="39">
        <f>3000000-741954</f>
        <v>2258046</v>
      </c>
      <c r="P194" s="39">
        <v>-2258046</v>
      </c>
      <c r="Q194" s="39">
        <f>O194+P194</f>
        <v>0</v>
      </c>
    </row>
    <row r="195" spans="1:28" ht="60.75" x14ac:dyDescent="0.25">
      <c r="A195" s="71" t="s">
        <v>279</v>
      </c>
      <c r="B195" s="37" t="s">
        <v>13</v>
      </c>
      <c r="C195" s="34" t="s">
        <v>119</v>
      </c>
      <c r="D195" s="34" t="s">
        <v>126</v>
      </c>
      <c r="E195" s="34"/>
      <c r="F195" s="39">
        <f t="shared" ref="F195:Q196" si="156">F196</f>
        <v>1812465</v>
      </c>
      <c r="G195" s="39">
        <f t="shared" si="156"/>
        <v>2737140</v>
      </c>
      <c r="H195" s="39">
        <f t="shared" si="156"/>
        <v>2709769</v>
      </c>
      <c r="I195" s="39">
        <f t="shared" si="156"/>
        <v>-787863</v>
      </c>
      <c r="J195" s="39">
        <f t="shared" si="156"/>
        <v>1024602</v>
      </c>
      <c r="K195" s="39">
        <f t="shared" si="156"/>
        <v>0</v>
      </c>
      <c r="L195" s="39">
        <f t="shared" si="156"/>
        <v>1024602</v>
      </c>
      <c r="M195" s="39"/>
      <c r="N195" s="39">
        <f t="shared" si="156"/>
        <v>0</v>
      </c>
      <c r="O195" s="39">
        <f t="shared" si="156"/>
        <v>1024602</v>
      </c>
      <c r="P195" s="39">
        <f t="shared" si="156"/>
        <v>-1024602</v>
      </c>
      <c r="Q195" s="39">
        <f t="shared" si="156"/>
        <v>0</v>
      </c>
    </row>
    <row r="196" spans="1:28" ht="23.25" x14ac:dyDescent="0.25">
      <c r="A196" s="47" t="s">
        <v>25</v>
      </c>
      <c r="B196" s="37" t="s">
        <v>13</v>
      </c>
      <c r="C196" s="34" t="s">
        <v>119</v>
      </c>
      <c r="D196" s="34" t="s">
        <v>126</v>
      </c>
      <c r="E196" s="34" t="s">
        <v>26</v>
      </c>
      <c r="F196" s="39">
        <f t="shared" si="156"/>
        <v>1812465</v>
      </c>
      <c r="G196" s="39">
        <f t="shared" si="156"/>
        <v>2737140</v>
      </c>
      <c r="H196" s="39">
        <f t="shared" si="156"/>
        <v>2709769</v>
      </c>
      <c r="I196" s="39">
        <f t="shared" si="156"/>
        <v>-787863</v>
      </c>
      <c r="J196" s="39">
        <f t="shared" si="156"/>
        <v>1024602</v>
      </c>
      <c r="K196" s="39">
        <f t="shared" si="156"/>
        <v>0</v>
      </c>
      <c r="L196" s="39">
        <f t="shared" si="156"/>
        <v>1024602</v>
      </c>
      <c r="M196" s="115" t="s">
        <v>277</v>
      </c>
      <c r="N196" s="39">
        <f t="shared" si="156"/>
        <v>0</v>
      </c>
      <c r="O196" s="39">
        <f t="shared" si="156"/>
        <v>1024602</v>
      </c>
      <c r="P196" s="39">
        <f t="shared" si="156"/>
        <v>-1024602</v>
      </c>
      <c r="Q196" s="39">
        <f t="shared" si="156"/>
        <v>0</v>
      </c>
    </row>
    <row r="197" spans="1:28" ht="36.75" x14ac:dyDescent="0.25">
      <c r="A197" s="47" t="s">
        <v>57</v>
      </c>
      <c r="B197" s="37" t="s">
        <v>13</v>
      </c>
      <c r="C197" s="34" t="s">
        <v>119</v>
      </c>
      <c r="D197" s="34" t="s">
        <v>126</v>
      </c>
      <c r="E197" s="35">
        <v>810</v>
      </c>
      <c r="F197" s="39">
        <f>2881200-1069000+418-153</f>
        <v>1812465</v>
      </c>
      <c r="G197" s="39">
        <v>2737140</v>
      </c>
      <c r="H197" s="39">
        <v>2709769</v>
      </c>
      <c r="I197" s="39">
        <f t="shared" ref="I197" si="157">+J197-F197</f>
        <v>-787863</v>
      </c>
      <c r="J197" s="39">
        <v>1024602</v>
      </c>
      <c r="K197" s="39"/>
      <c r="L197" s="39">
        <v>1024602</v>
      </c>
      <c r="M197" s="39"/>
      <c r="N197" s="39"/>
      <c r="O197" s="39">
        <v>1024602</v>
      </c>
      <c r="P197" s="39">
        <v>-1024602</v>
      </c>
      <c r="Q197" s="174">
        <f>O197+P197</f>
        <v>0</v>
      </c>
    </row>
    <row r="198" spans="1:28" ht="48.75" x14ac:dyDescent="0.25">
      <c r="A198" s="127" t="s">
        <v>127</v>
      </c>
      <c r="B198" s="37" t="s">
        <v>13</v>
      </c>
      <c r="C198" s="34" t="s">
        <v>119</v>
      </c>
      <c r="D198" s="34" t="s">
        <v>71</v>
      </c>
      <c r="E198" s="35"/>
      <c r="F198" s="39">
        <f>F199</f>
        <v>100000</v>
      </c>
      <c r="G198" s="39">
        <f t="shared" ref="G198:L202" si="158">G199</f>
        <v>100000</v>
      </c>
      <c r="H198" s="39">
        <f t="shared" si="158"/>
        <v>100000</v>
      </c>
      <c r="I198" s="39">
        <f t="shared" si="158"/>
        <v>100000</v>
      </c>
      <c r="J198" s="39">
        <f t="shared" si="158"/>
        <v>200000</v>
      </c>
      <c r="K198" s="39">
        <f>K199+K202</f>
        <v>-100000</v>
      </c>
      <c r="L198" s="39">
        <f t="shared" si="158"/>
        <v>100000</v>
      </c>
      <c r="M198" s="39"/>
      <c r="N198" s="39"/>
      <c r="O198" s="39">
        <f>O199</f>
        <v>100000</v>
      </c>
      <c r="P198" s="39">
        <f>P199</f>
        <v>197286.59999999998</v>
      </c>
      <c r="Q198" s="39">
        <f>Q199</f>
        <v>297286.59999999998</v>
      </c>
      <c r="U198" s="9"/>
      <c r="X198" s="9">
        <f>Q198</f>
        <v>297286.59999999998</v>
      </c>
      <c r="AB198" s="9"/>
    </row>
    <row r="199" spans="1:28" ht="24" x14ac:dyDescent="0.25">
      <c r="A199" s="61" t="s">
        <v>75</v>
      </c>
      <c r="B199" s="37" t="s">
        <v>13</v>
      </c>
      <c r="C199" s="34" t="s">
        <v>119</v>
      </c>
      <c r="D199" s="34" t="s">
        <v>76</v>
      </c>
      <c r="E199" s="34"/>
      <c r="F199" s="39">
        <f>F202</f>
        <v>100000</v>
      </c>
      <c r="G199" s="39">
        <f>G202</f>
        <v>100000</v>
      </c>
      <c r="H199" s="39">
        <f>H202</f>
        <v>100000</v>
      </c>
      <c r="I199" s="39">
        <f t="shared" si="158"/>
        <v>100000</v>
      </c>
      <c r="J199" s="39">
        <f>J202+J201</f>
        <v>200000</v>
      </c>
      <c r="K199" s="39">
        <f t="shared" si="158"/>
        <v>0</v>
      </c>
      <c r="L199" s="39">
        <f>L202+L201</f>
        <v>100000</v>
      </c>
      <c r="M199" s="39"/>
      <c r="N199" s="39">
        <f t="shared" ref="N199:Q202" si="159">N200</f>
        <v>0</v>
      </c>
      <c r="O199" s="39">
        <f>O202+O201</f>
        <v>100000</v>
      </c>
      <c r="P199" s="39">
        <f>P202+P201</f>
        <v>197286.59999999998</v>
      </c>
      <c r="Q199" s="39">
        <f>Q202+Q201</f>
        <v>297286.59999999998</v>
      </c>
    </row>
    <row r="200" spans="1:28" ht="24.75" x14ac:dyDescent="0.25">
      <c r="A200" s="46" t="s">
        <v>44</v>
      </c>
      <c r="B200" s="37" t="s">
        <v>13</v>
      </c>
      <c r="C200" s="34" t="s">
        <v>119</v>
      </c>
      <c r="D200" s="34" t="s">
        <v>76</v>
      </c>
      <c r="E200" s="35">
        <v>200</v>
      </c>
      <c r="F200" s="39"/>
      <c r="G200" s="39"/>
      <c r="H200" s="39"/>
      <c r="I200" s="39">
        <f t="shared" ref="I200:I201" si="160">+J200-F200</f>
        <v>100000</v>
      </c>
      <c r="J200" s="39">
        <f>+J201</f>
        <v>100000</v>
      </c>
      <c r="K200" s="39">
        <f>K201</f>
        <v>0</v>
      </c>
      <c r="L200" s="39">
        <f>+L201</f>
        <v>100000</v>
      </c>
      <c r="M200" s="39"/>
      <c r="N200" s="39">
        <f>N201</f>
        <v>0</v>
      </c>
      <c r="O200" s="39">
        <f>+O201</f>
        <v>100000</v>
      </c>
      <c r="P200" s="39">
        <f>P201</f>
        <v>-13912.81</v>
      </c>
      <c r="Q200" s="39">
        <f>+Q201</f>
        <v>86087.19</v>
      </c>
    </row>
    <row r="201" spans="1:28" ht="36.75" x14ac:dyDescent="0.25">
      <c r="A201" s="47" t="s">
        <v>23</v>
      </c>
      <c r="B201" s="37" t="s">
        <v>13</v>
      </c>
      <c r="C201" s="34" t="s">
        <v>119</v>
      </c>
      <c r="D201" s="34" t="s">
        <v>76</v>
      </c>
      <c r="E201" s="35">
        <v>240</v>
      </c>
      <c r="F201" s="39"/>
      <c r="G201" s="39"/>
      <c r="H201" s="39"/>
      <c r="I201" s="39">
        <f t="shared" si="160"/>
        <v>100000</v>
      </c>
      <c r="J201" s="39">
        <v>100000</v>
      </c>
      <c r="K201" s="39"/>
      <c r="L201" s="39">
        <v>100000</v>
      </c>
      <c r="M201" s="116" t="s">
        <v>273</v>
      </c>
      <c r="N201" s="39"/>
      <c r="O201" s="39">
        <v>100000</v>
      </c>
      <c r="P201" s="39">
        <f>-13912.81</f>
        <v>-13912.81</v>
      </c>
      <c r="Q201" s="39">
        <f>O201+P201</f>
        <v>86087.19</v>
      </c>
    </row>
    <row r="202" spans="1:28" x14ac:dyDescent="0.25">
      <c r="A202" s="47" t="s">
        <v>25</v>
      </c>
      <c r="B202" s="37" t="s">
        <v>13</v>
      </c>
      <c r="C202" s="34" t="s">
        <v>119</v>
      </c>
      <c r="D202" s="34" t="s">
        <v>76</v>
      </c>
      <c r="E202" s="35">
        <v>800</v>
      </c>
      <c r="F202" s="39">
        <f>F203</f>
        <v>100000</v>
      </c>
      <c r="G202" s="39">
        <f t="shared" si="158"/>
        <v>100000</v>
      </c>
      <c r="H202" s="39">
        <f t="shared" si="158"/>
        <v>100000</v>
      </c>
      <c r="I202" s="39">
        <f t="shared" si="158"/>
        <v>0</v>
      </c>
      <c r="J202" s="39">
        <f t="shared" si="158"/>
        <v>100000</v>
      </c>
      <c r="K202" s="39">
        <f t="shared" si="158"/>
        <v>-100000</v>
      </c>
      <c r="L202" s="39">
        <f t="shared" si="158"/>
        <v>0</v>
      </c>
      <c r="M202" s="39"/>
      <c r="N202" s="39">
        <f t="shared" si="159"/>
        <v>0</v>
      </c>
      <c r="O202" s="39">
        <f t="shared" si="159"/>
        <v>0</v>
      </c>
      <c r="P202" s="39">
        <f t="shared" si="159"/>
        <v>211199.40999999997</v>
      </c>
      <c r="Q202" s="39">
        <f t="shared" si="159"/>
        <v>211199.40999999997</v>
      </c>
    </row>
    <row r="203" spans="1:28" ht="36.75" x14ac:dyDescent="0.25">
      <c r="A203" s="47" t="s">
        <v>57</v>
      </c>
      <c r="B203" s="37" t="s">
        <v>13</v>
      </c>
      <c r="C203" s="34" t="s">
        <v>119</v>
      </c>
      <c r="D203" s="34" t="s">
        <v>76</v>
      </c>
      <c r="E203" s="34" t="s">
        <v>77</v>
      </c>
      <c r="F203" s="39">
        <v>100000</v>
      </c>
      <c r="G203" s="39">
        <v>100000</v>
      </c>
      <c r="H203" s="39">
        <v>100000</v>
      </c>
      <c r="I203" s="39">
        <f t="shared" ref="I203:I206" si="161">+J203-F203</f>
        <v>0</v>
      </c>
      <c r="J203" s="39">
        <v>100000</v>
      </c>
      <c r="K203" s="39">
        <v>-100000</v>
      </c>
      <c r="L203" s="39">
        <f>+J203+K203</f>
        <v>0</v>
      </c>
      <c r="M203" s="39"/>
      <c r="N203" s="39"/>
      <c r="O203" s="39">
        <f>+M203+N203</f>
        <v>0</v>
      </c>
      <c r="P203" s="39">
        <f>222174.58-10975.17</f>
        <v>211199.40999999997</v>
      </c>
      <c r="Q203" s="39">
        <f>+O203+P203</f>
        <v>211199.40999999997</v>
      </c>
    </row>
    <row r="204" spans="1:28" ht="24.75" x14ac:dyDescent="0.25">
      <c r="A204" s="62" t="s">
        <v>265</v>
      </c>
      <c r="B204" s="82" t="s">
        <v>13</v>
      </c>
      <c r="C204" s="74" t="s">
        <v>119</v>
      </c>
      <c r="D204" s="74" t="s">
        <v>266</v>
      </c>
      <c r="E204" s="34"/>
      <c r="F204" s="39"/>
      <c r="G204" s="39"/>
      <c r="H204" s="39"/>
      <c r="I204" s="39">
        <f t="shared" si="161"/>
        <v>73917</v>
      </c>
      <c r="J204" s="39">
        <f>+J206</f>
        <v>73917</v>
      </c>
      <c r="K204" s="39">
        <f>K205</f>
        <v>0</v>
      </c>
      <c r="L204" s="39">
        <f>+L206</f>
        <v>73917</v>
      </c>
      <c r="M204" s="39"/>
      <c r="N204" s="39">
        <f>N205</f>
        <v>0</v>
      </c>
      <c r="O204" s="39">
        <f>+O206</f>
        <v>73917</v>
      </c>
      <c r="P204" s="39">
        <f>P205</f>
        <v>0</v>
      </c>
      <c r="Q204" s="39">
        <f>+Q206</f>
        <v>73917</v>
      </c>
    </row>
    <row r="205" spans="1:28" ht="24.75" x14ac:dyDescent="0.25">
      <c r="A205" s="46" t="s">
        <v>44</v>
      </c>
      <c r="B205" s="37" t="s">
        <v>13</v>
      </c>
      <c r="C205" s="34" t="s">
        <v>119</v>
      </c>
      <c r="D205" s="34" t="s">
        <v>266</v>
      </c>
      <c r="E205" s="35">
        <v>200</v>
      </c>
      <c r="F205" s="39"/>
      <c r="G205" s="39"/>
      <c r="H205" s="39"/>
      <c r="I205" s="39">
        <f t="shared" si="161"/>
        <v>73917</v>
      </c>
      <c r="J205" s="39">
        <f>+J206</f>
        <v>73917</v>
      </c>
      <c r="K205" s="39">
        <f>K206</f>
        <v>0</v>
      </c>
      <c r="L205" s="39">
        <f>+L206</f>
        <v>73917</v>
      </c>
      <c r="M205" s="39"/>
      <c r="N205" s="39">
        <f>N206</f>
        <v>0</v>
      </c>
      <c r="O205" s="39">
        <f>+O206</f>
        <v>73917</v>
      </c>
      <c r="P205" s="39">
        <f>P206</f>
        <v>0</v>
      </c>
      <c r="Q205" s="39">
        <f>+Q206</f>
        <v>73917</v>
      </c>
    </row>
    <row r="206" spans="1:28" ht="36.75" x14ac:dyDescent="0.25">
      <c r="A206" s="47" t="s">
        <v>23</v>
      </c>
      <c r="B206" s="37" t="s">
        <v>13</v>
      </c>
      <c r="C206" s="34" t="s">
        <v>119</v>
      </c>
      <c r="D206" s="34" t="s">
        <v>266</v>
      </c>
      <c r="E206" s="35">
        <v>240</v>
      </c>
      <c r="F206" s="39"/>
      <c r="G206" s="39"/>
      <c r="H206" s="39"/>
      <c r="I206" s="39">
        <f t="shared" si="161"/>
        <v>73917</v>
      </c>
      <c r="J206" s="39">
        <v>73917</v>
      </c>
      <c r="K206" s="39"/>
      <c r="L206" s="39">
        <v>73917</v>
      </c>
      <c r="M206" s="117" t="s">
        <v>274</v>
      </c>
      <c r="N206" s="39"/>
      <c r="O206" s="39">
        <v>73917</v>
      </c>
      <c r="P206" s="39"/>
      <c r="Q206" s="39">
        <v>73917</v>
      </c>
    </row>
    <row r="207" spans="1:28" x14ac:dyDescent="0.25">
      <c r="A207" s="32" t="s">
        <v>128</v>
      </c>
      <c r="B207" s="33" t="s">
        <v>13</v>
      </c>
      <c r="C207" s="29" t="s">
        <v>129</v>
      </c>
      <c r="D207" s="35"/>
      <c r="E207" s="34"/>
      <c r="F207" s="26">
        <f>F213+F223+F237</f>
        <v>44359296</v>
      </c>
      <c r="G207" s="26">
        <f>G213+G223+G237</f>
        <v>21195000</v>
      </c>
      <c r="H207" s="26">
        <f>H213+H223+H237</f>
        <v>23055000</v>
      </c>
      <c r="I207" s="26">
        <f>I213+I223+I237</f>
        <v>5460525</v>
      </c>
      <c r="J207" s="26">
        <f>J213+J223+J237+J210</f>
        <v>49819821</v>
      </c>
      <c r="K207" s="26">
        <f>K213+K223+K237+K210+K246</f>
        <v>39208828</v>
      </c>
      <c r="L207" s="26">
        <f>L213+L223+L237+L210+L246+L253</f>
        <v>89028649</v>
      </c>
      <c r="M207" s="26"/>
      <c r="N207" s="26">
        <f>N213+N223+N237+N210+N246+N253+N211</f>
        <v>5427610.7699999996</v>
      </c>
      <c r="O207" s="26">
        <f>O213+O223+O237+O210+O246+O253+O212</f>
        <v>94456259.770000011</v>
      </c>
      <c r="P207" s="26">
        <f>P213+P223+P237+P210+P246+P253+P211</f>
        <v>-34141492.530000001</v>
      </c>
      <c r="Q207" s="26">
        <f>Q213+Q223+Q237+Q210+Q246+Q253+Q212</f>
        <v>60314767.240000002</v>
      </c>
      <c r="S207" s="9"/>
    </row>
    <row r="208" spans="1:28" x14ac:dyDescent="0.25">
      <c r="A208" s="99" t="s">
        <v>286</v>
      </c>
      <c r="B208" s="86" t="s">
        <v>13</v>
      </c>
      <c r="C208" s="52" t="s">
        <v>129</v>
      </c>
      <c r="D208" s="34" t="s">
        <v>50</v>
      </c>
      <c r="E208" s="34" t="s">
        <v>287</v>
      </c>
      <c r="F208" s="26"/>
      <c r="G208" s="26"/>
      <c r="H208" s="26"/>
      <c r="I208" s="26"/>
      <c r="J208" s="26">
        <f t="shared" ref="J208:L209" si="162">J209</f>
        <v>0</v>
      </c>
      <c r="K208" s="26">
        <f t="shared" si="162"/>
        <v>147736</v>
      </c>
      <c r="L208" s="26">
        <f>L209+L211</f>
        <v>147736</v>
      </c>
      <c r="M208" s="26"/>
      <c r="N208" s="26">
        <f>N209+N211</f>
        <v>195663</v>
      </c>
      <c r="O208" s="26">
        <f>O209+O211</f>
        <v>343399</v>
      </c>
      <c r="P208" s="26">
        <f>P209+P211</f>
        <v>66372</v>
      </c>
      <c r="Q208" s="26">
        <f>Q209+Q211</f>
        <v>409771</v>
      </c>
      <c r="R208" s="172">
        <f>P210+P216+P222+P231+P240+P242+P245+P255+P257</f>
        <v>-34141492.530000001</v>
      </c>
      <c r="S208" s="9"/>
      <c r="T208" s="9">
        <f>Q208</f>
        <v>409771</v>
      </c>
    </row>
    <row r="209" spans="1:29" x14ac:dyDescent="0.25">
      <c r="A209" s="47" t="s">
        <v>25</v>
      </c>
      <c r="B209" s="86" t="s">
        <v>13</v>
      </c>
      <c r="C209" s="52" t="s">
        <v>129</v>
      </c>
      <c r="D209" s="34" t="s">
        <v>50</v>
      </c>
      <c r="E209" s="34" t="s">
        <v>26</v>
      </c>
      <c r="F209" s="26"/>
      <c r="G209" s="26"/>
      <c r="H209" s="26"/>
      <c r="I209" s="26"/>
      <c r="J209" s="53">
        <f t="shared" si="162"/>
        <v>0</v>
      </c>
      <c r="K209" s="53">
        <f t="shared" si="162"/>
        <v>147736</v>
      </c>
      <c r="L209" s="53">
        <f t="shared" si="162"/>
        <v>147736</v>
      </c>
      <c r="M209" s="26"/>
      <c r="N209" s="53">
        <f>N210</f>
        <v>147038</v>
      </c>
      <c r="O209" s="53">
        <f>O210</f>
        <v>294774</v>
      </c>
      <c r="P209" s="53">
        <f>P210</f>
        <v>66372</v>
      </c>
      <c r="Q209" s="53">
        <f>Q210</f>
        <v>361146</v>
      </c>
      <c r="R209" s="144"/>
    </row>
    <row r="210" spans="1:29" ht="39.6" customHeight="1" x14ac:dyDescent="0.25">
      <c r="A210" s="47" t="s">
        <v>57</v>
      </c>
      <c r="B210" s="86" t="s">
        <v>13</v>
      </c>
      <c r="C210" s="52" t="s">
        <v>129</v>
      </c>
      <c r="D210" s="34" t="s">
        <v>50</v>
      </c>
      <c r="E210" s="34" t="s">
        <v>77</v>
      </c>
      <c r="F210" s="26"/>
      <c r="G210" s="26"/>
      <c r="H210" s="26"/>
      <c r="I210" s="26"/>
      <c r="J210" s="53"/>
      <c r="K210" s="53">
        <v>147736</v>
      </c>
      <c r="L210" s="53">
        <f>J210+K210</f>
        <v>147736</v>
      </c>
      <c r="M210" s="26"/>
      <c r="N210" s="53">
        <v>147038</v>
      </c>
      <c r="O210" s="53">
        <f>L210+N210</f>
        <v>294774</v>
      </c>
      <c r="P210" s="53">
        <v>66372</v>
      </c>
      <c r="Q210" s="53">
        <f>O210+P210</f>
        <v>361146</v>
      </c>
      <c r="R210" s="165"/>
    </row>
    <row r="211" spans="1:29" ht="41.45" customHeight="1" x14ac:dyDescent="0.25">
      <c r="A211" s="46" t="s">
        <v>44</v>
      </c>
      <c r="B211" s="86" t="s">
        <v>13</v>
      </c>
      <c r="C211" s="52" t="s">
        <v>129</v>
      </c>
      <c r="D211" s="34" t="s">
        <v>50</v>
      </c>
      <c r="E211" s="34" t="s">
        <v>74</v>
      </c>
      <c r="F211" s="26"/>
      <c r="G211" s="26"/>
      <c r="H211" s="26"/>
      <c r="I211" s="26"/>
      <c r="J211" s="53"/>
      <c r="K211" s="53"/>
      <c r="L211" s="53">
        <f>L212</f>
        <v>0</v>
      </c>
      <c r="M211" s="26"/>
      <c r="N211" s="53">
        <f>N212</f>
        <v>48625</v>
      </c>
      <c r="O211" s="53">
        <f>O212</f>
        <v>48625</v>
      </c>
      <c r="P211" s="53">
        <f>P212</f>
        <v>0</v>
      </c>
      <c r="Q211" s="53">
        <f>Q212</f>
        <v>48625</v>
      </c>
      <c r="R211" s="177"/>
    </row>
    <row r="212" spans="1:29" ht="36.75" x14ac:dyDescent="0.25">
      <c r="A212" s="47" t="s">
        <v>23</v>
      </c>
      <c r="B212" s="86" t="s">
        <v>13</v>
      </c>
      <c r="C212" s="52" t="s">
        <v>129</v>
      </c>
      <c r="D212" s="34" t="s">
        <v>50</v>
      </c>
      <c r="E212" s="34" t="s">
        <v>24</v>
      </c>
      <c r="F212" s="26"/>
      <c r="G212" s="26"/>
      <c r="H212" s="26"/>
      <c r="I212" s="26"/>
      <c r="J212" s="53"/>
      <c r="K212" s="53"/>
      <c r="L212" s="53"/>
      <c r="M212" s="26"/>
      <c r="N212" s="53">
        <v>48625</v>
      </c>
      <c r="O212" s="53">
        <f>L212+N212</f>
        <v>48625</v>
      </c>
      <c r="P212" s="53"/>
      <c r="Q212" s="53">
        <f>N212+P212</f>
        <v>48625</v>
      </c>
      <c r="R212" s="176"/>
    </row>
    <row r="213" spans="1:29" ht="48.75" x14ac:dyDescent="0.25">
      <c r="A213" s="51" t="s">
        <v>103</v>
      </c>
      <c r="B213" s="37" t="s">
        <v>13</v>
      </c>
      <c r="C213" s="34" t="s">
        <v>129</v>
      </c>
      <c r="D213" s="68" t="s">
        <v>104</v>
      </c>
      <c r="E213" s="34"/>
      <c r="F213" s="53">
        <f>F214+F217</f>
        <v>13837296</v>
      </c>
      <c r="G213" s="53">
        <f>G214+G217</f>
        <v>0</v>
      </c>
      <c r="H213" s="53">
        <f>H214+H217</f>
        <v>0</v>
      </c>
      <c r="I213" s="53">
        <f>I214+I217+I221</f>
        <v>1642817</v>
      </c>
      <c r="J213" s="53">
        <f>J214+J217+J221</f>
        <v>15480113</v>
      </c>
      <c r="K213" s="53">
        <f t="shared" ref="K213:L213" si="163">K214+K217+K221</f>
        <v>-350908</v>
      </c>
      <c r="L213" s="53">
        <f t="shared" si="163"/>
        <v>15129205</v>
      </c>
      <c r="M213" s="53"/>
      <c r="N213" s="53">
        <f t="shared" ref="N213" si="164">N214+N217+N221</f>
        <v>-665314.53</v>
      </c>
      <c r="O213" s="53">
        <f>O214+O217+O221</f>
        <v>14463890.470000001</v>
      </c>
      <c r="P213" s="53">
        <f t="shared" ref="P213" si="165">P214+P217+P221</f>
        <v>-8314828.9699999997</v>
      </c>
      <c r="Q213" s="53">
        <f>Q214+Q217+Q221</f>
        <v>6149061.5000000009</v>
      </c>
      <c r="R213" s="165"/>
      <c r="S213" s="9"/>
      <c r="W213" s="9"/>
      <c r="Z213" s="9">
        <f>Q213</f>
        <v>6149061.5000000009</v>
      </c>
    </row>
    <row r="214" spans="1:29" x14ac:dyDescent="0.25">
      <c r="A214" s="59" t="s">
        <v>105</v>
      </c>
      <c r="B214" s="37" t="s">
        <v>13</v>
      </c>
      <c r="C214" s="34" t="s">
        <v>129</v>
      </c>
      <c r="D214" s="68" t="s">
        <v>106</v>
      </c>
      <c r="E214" s="34"/>
      <c r="F214" s="53">
        <f t="shared" ref="F214:Q215" si="166">F215</f>
        <v>9438387</v>
      </c>
      <c r="G214" s="53">
        <f t="shared" si="166"/>
        <v>0</v>
      </c>
      <c r="H214" s="53">
        <f t="shared" si="166"/>
        <v>0</v>
      </c>
      <c r="I214" s="53">
        <f t="shared" si="166"/>
        <v>0</v>
      </c>
      <c r="J214" s="53">
        <f t="shared" si="166"/>
        <v>9438387</v>
      </c>
      <c r="K214" s="53">
        <f t="shared" si="166"/>
        <v>-350908</v>
      </c>
      <c r="L214" s="53">
        <f t="shared" si="166"/>
        <v>9087479</v>
      </c>
      <c r="M214" s="53"/>
      <c r="N214" s="53">
        <f t="shared" si="166"/>
        <v>-665314.53</v>
      </c>
      <c r="O214" s="53">
        <f t="shared" si="166"/>
        <v>8422164.4700000007</v>
      </c>
      <c r="P214" s="53">
        <f t="shared" si="166"/>
        <v>-8273864.3700000001</v>
      </c>
      <c r="Q214" s="53">
        <f t="shared" si="166"/>
        <v>148300.10000000056</v>
      </c>
    </row>
    <row r="215" spans="1:29" ht="24.75" x14ac:dyDescent="0.25">
      <c r="A215" s="46" t="s">
        <v>44</v>
      </c>
      <c r="B215" s="37" t="s">
        <v>13</v>
      </c>
      <c r="C215" s="34" t="s">
        <v>129</v>
      </c>
      <c r="D215" s="68" t="s">
        <v>106</v>
      </c>
      <c r="E215" s="34" t="s">
        <v>74</v>
      </c>
      <c r="F215" s="53">
        <f t="shared" si="166"/>
        <v>9438387</v>
      </c>
      <c r="G215" s="53">
        <f t="shared" si="166"/>
        <v>0</v>
      </c>
      <c r="H215" s="53">
        <f t="shared" si="166"/>
        <v>0</v>
      </c>
      <c r="I215" s="53">
        <f t="shared" si="166"/>
        <v>0</v>
      </c>
      <c r="J215" s="53">
        <f t="shared" si="166"/>
        <v>9438387</v>
      </c>
      <c r="K215" s="53">
        <f t="shared" si="166"/>
        <v>-350908</v>
      </c>
      <c r="L215" s="53">
        <f t="shared" si="166"/>
        <v>9087479</v>
      </c>
      <c r="M215" s="53"/>
      <c r="N215" s="53">
        <f t="shared" si="166"/>
        <v>-665314.53</v>
      </c>
      <c r="O215" s="53">
        <f t="shared" si="166"/>
        <v>8422164.4700000007</v>
      </c>
      <c r="P215" s="53">
        <f t="shared" si="166"/>
        <v>-8273864.3700000001</v>
      </c>
      <c r="Q215" s="53">
        <f t="shared" si="166"/>
        <v>148300.10000000056</v>
      </c>
    </row>
    <row r="216" spans="1:29" ht="36.75" x14ac:dyDescent="0.25">
      <c r="A216" s="47" t="s">
        <v>23</v>
      </c>
      <c r="B216" s="37" t="s">
        <v>13</v>
      </c>
      <c r="C216" s="34" t="s">
        <v>129</v>
      </c>
      <c r="D216" s="68" t="s">
        <v>106</v>
      </c>
      <c r="E216" s="34" t="s">
        <v>24</v>
      </c>
      <c r="F216" s="53">
        <f>12560387-2300000-410000-362000-50000</f>
        <v>9438387</v>
      </c>
      <c r="G216" s="53"/>
      <c r="H216" s="53"/>
      <c r="I216" s="39">
        <f t="shared" ref="I216" si="167">+J216-F216</f>
        <v>0</v>
      </c>
      <c r="J216" s="53">
        <v>9438387</v>
      </c>
      <c r="K216" s="39">
        <f>-3908-25000-312000-10000</f>
        <v>-350908</v>
      </c>
      <c r="L216" s="53">
        <f>+J216+K216</f>
        <v>9087479</v>
      </c>
      <c r="M216" s="53"/>
      <c r="N216" s="39">
        <f>-161914.53-120000-110000-15000-100000-170000-80000+91600</f>
        <v>-665314.53</v>
      </c>
      <c r="O216" s="53">
        <f>L216+N216</f>
        <v>8422164.4700000007</v>
      </c>
      <c r="P216" s="39">
        <f>-3000000-5323364.37+49500</f>
        <v>-8273864.3700000001</v>
      </c>
      <c r="Q216" s="53">
        <f>O216+P216</f>
        <v>148300.10000000056</v>
      </c>
    </row>
    <row r="217" spans="1:29" x14ac:dyDescent="0.25">
      <c r="A217" s="47" t="s">
        <v>130</v>
      </c>
      <c r="B217" s="37" t="s">
        <v>13</v>
      </c>
      <c r="C217" s="34" t="s">
        <v>129</v>
      </c>
      <c r="D217" s="68" t="s">
        <v>131</v>
      </c>
      <c r="E217" s="34"/>
      <c r="F217" s="53">
        <f t="shared" ref="F217:Q217" si="168">F218</f>
        <v>4398909</v>
      </c>
      <c r="G217" s="53">
        <f t="shared" si="168"/>
        <v>0</v>
      </c>
      <c r="H217" s="53">
        <f t="shared" si="168"/>
        <v>0</v>
      </c>
      <c r="I217" s="53">
        <f t="shared" si="168"/>
        <v>760304</v>
      </c>
      <c r="J217" s="53">
        <f t="shared" si="168"/>
        <v>5159213</v>
      </c>
      <c r="K217" s="53">
        <f t="shared" si="168"/>
        <v>0</v>
      </c>
      <c r="L217" s="53">
        <f t="shared" si="168"/>
        <v>5159213</v>
      </c>
      <c r="M217" s="53"/>
      <c r="N217" s="53">
        <f t="shared" si="168"/>
        <v>0</v>
      </c>
      <c r="O217" s="53">
        <f t="shared" si="168"/>
        <v>5159213</v>
      </c>
      <c r="P217" s="53">
        <f t="shared" si="168"/>
        <v>0</v>
      </c>
      <c r="Q217" s="53">
        <f t="shared" si="168"/>
        <v>5159213</v>
      </c>
    </row>
    <row r="218" spans="1:29" ht="36.75" x14ac:dyDescent="0.25">
      <c r="A218" s="47" t="s">
        <v>132</v>
      </c>
      <c r="B218" s="37" t="s">
        <v>13</v>
      </c>
      <c r="C218" s="34" t="s">
        <v>129</v>
      </c>
      <c r="D218" s="68" t="s">
        <v>131</v>
      </c>
      <c r="E218" s="34" t="s">
        <v>133</v>
      </c>
      <c r="F218" s="53">
        <f t="shared" ref="F218:Q218" si="169">F219</f>
        <v>4398909</v>
      </c>
      <c r="G218" s="53">
        <f t="shared" si="169"/>
        <v>0</v>
      </c>
      <c r="H218" s="53">
        <f t="shared" si="169"/>
        <v>0</v>
      </c>
      <c r="I218" s="53">
        <f t="shared" si="169"/>
        <v>760304</v>
      </c>
      <c r="J218" s="53">
        <f t="shared" si="169"/>
        <v>5159213</v>
      </c>
      <c r="K218" s="53">
        <f t="shared" si="169"/>
        <v>0</v>
      </c>
      <c r="L218" s="53">
        <f t="shared" si="169"/>
        <v>5159213</v>
      </c>
      <c r="M218" s="53"/>
      <c r="N218" s="53">
        <f t="shared" si="169"/>
        <v>0</v>
      </c>
      <c r="O218" s="53">
        <f t="shared" si="169"/>
        <v>5159213</v>
      </c>
      <c r="P218" s="53">
        <f t="shared" si="169"/>
        <v>0</v>
      </c>
      <c r="Q218" s="53">
        <f t="shared" si="169"/>
        <v>5159213</v>
      </c>
    </row>
    <row r="219" spans="1:29" ht="28.15" customHeight="1" x14ac:dyDescent="0.25">
      <c r="A219" s="47" t="s">
        <v>134</v>
      </c>
      <c r="B219" s="37" t="s">
        <v>13</v>
      </c>
      <c r="C219" s="34" t="s">
        <v>129</v>
      </c>
      <c r="D219" s="68" t="s">
        <v>131</v>
      </c>
      <c r="E219" s="34" t="s">
        <v>135</v>
      </c>
      <c r="F219" s="53">
        <f>670000-670000+4398909</f>
        <v>4398909</v>
      </c>
      <c r="G219" s="53"/>
      <c r="H219" s="53"/>
      <c r="I219" s="53">
        <v>760304</v>
      </c>
      <c r="J219" s="53">
        <f>+F219+I219</f>
        <v>5159213</v>
      </c>
      <c r="K219" s="53"/>
      <c r="L219" s="53">
        <f>J219+K219</f>
        <v>5159213</v>
      </c>
      <c r="M219" s="118" t="s">
        <v>276</v>
      </c>
      <c r="N219" s="53"/>
      <c r="O219" s="53">
        <f>L219+N219</f>
        <v>5159213</v>
      </c>
      <c r="P219" s="53"/>
      <c r="Q219" s="53">
        <f>O219+P219</f>
        <v>5159213</v>
      </c>
      <c r="R219" s="144"/>
    </row>
    <row r="220" spans="1:29" x14ac:dyDescent="0.25">
      <c r="A220" s="47" t="s">
        <v>107</v>
      </c>
      <c r="B220" s="37" t="s">
        <v>13</v>
      </c>
      <c r="C220" s="34" t="s">
        <v>129</v>
      </c>
      <c r="D220" s="73" t="s">
        <v>108</v>
      </c>
      <c r="E220" s="54"/>
      <c r="F220" s="53">
        <f t="shared" ref="F220:Q221" si="170">F221</f>
        <v>0</v>
      </c>
      <c r="G220" s="53">
        <f t="shared" si="170"/>
        <v>0</v>
      </c>
      <c r="H220" s="53">
        <f t="shared" si="170"/>
        <v>0</v>
      </c>
      <c r="I220" s="53">
        <f t="shared" si="170"/>
        <v>882513</v>
      </c>
      <c r="J220" s="53">
        <f t="shared" si="170"/>
        <v>882513</v>
      </c>
      <c r="K220" s="53">
        <f t="shared" si="170"/>
        <v>0</v>
      </c>
      <c r="L220" s="53">
        <f t="shared" si="170"/>
        <v>882513</v>
      </c>
      <c r="M220" s="53"/>
      <c r="N220" s="53">
        <f t="shared" si="170"/>
        <v>0</v>
      </c>
      <c r="O220" s="53">
        <f t="shared" si="170"/>
        <v>882513</v>
      </c>
      <c r="P220" s="53">
        <f t="shared" si="170"/>
        <v>-40964.6</v>
      </c>
      <c r="Q220" s="53">
        <f t="shared" si="170"/>
        <v>841548.4</v>
      </c>
    </row>
    <row r="221" spans="1:29" ht="24.75" x14ac:dyDescent="0.25">
      <c r="A221" s="41" t="s">
        <v>44</v>
      </c>
      <c r="B221" s="37" t="s">
        <v>13</v>
      </c>
      <c r="C221" s="34" t="s">
        <v>129</v>
      </c>
      <c r="D221" s="73" t="s">
        <v>108</v>
      </c>
      <c r="E221" s="54">
        <v>200</v>
      </c>
      <c r="F221" s="53">
        <f t="shared" si="170"/>
        <v>0</v>
      </c>
      <c r="G221" s="53">
        <f t="shared" si="170"/>
        <v>0</v>
      </c>
      <c r="H221" s="53">
        <f t="shared" si="170"/>
        <v>0</v>
      </c>
      <c r="I221" s="53">
        <f t="shared" si="170"/>
        <v>882513</v>
      </c>
      <c r="J221" s="53">
        <f t="shared" si="170"/>
        <v>882513</v>
      </c>
      <c r="K221" s="53">
        <f t="shared" si="170"/>
        <v>0</v>
      </c>
      <c r="L221" s="53">
        <f t="shared" si="170"/>
        <v>882513</v>
      </c>
      <c r="M221" s="53"/>
      <c r="N221" s="53">
        <f t="shared" si="170"/>
        <v>0</v>
      </c>
      <c r="O221" s="53">
        <f t="shared" si="170"/>
        <v>882513</v>
      </c>
      <c r="P221" s="53">
        <f t="shared" si="170"/>
        <v>-40964.6</v>
      </c>
      <c r="Q221" s="53">
        <f t="shared" si="170"/>
        <v>841548.4</v>
      </c>
    </row>
    <row r="222" spans="1:29" ht="36.75" x14ac:dyDescent="0.25">
      <c r="A222" s="41" t="s">
        <v>23</v>
      </c>
      <c r="B222" s="37" t="s">
        <v>13</v>
      </c>
      <c r="C222" s="34" t="s">
        <v>129</v>
      </c>
      <c r="D222" s="73" t="s">
        <v>108</v>
      </c>
      <c r="E222" s="54">
        <v>240</v>
      </c>
      <c r="F222" s="53"/>
      <c r="G222" s="53"/>
      <c r="H222" s="53"/>
      <c r="I222" s="39">
        <f>240549+309904+93805+200000+268740-230485</f>
        <v>882513</v>
      </c>
      <c r="J222" s="53">
        <f>+F222+I222</f>
        <v>882513</v>
      </c>
      <c r="K222" s="39"/>
      <c r="L222" s="53">
        <f>J222+K222</f>
        <v>882513</v>
      </c>
      <c r="M222" s="118" t="s">
        <v>275</v>
      </c>
      <c r="N222" s="39"/>
      <c r="O222" s="53">
        <f>L222+N222</f>
        <v>882513</v>
      </c>
      <c r="P222" s="39">
        <f>-40964.6</f>
        <v>-40964.6</v>
      </c>
      <c r="Q222" s="53">
        <f>O222+P222</f>
        <v>841548.4</v>
      </c>
      <c r="R222" s="144"/>
    </row>
    <row r="223" spans="1:29" ht="64.900000000000006" customHeight="1" x14ac:dyDescent="0.25">
      <c r="A223" s="131" t="s">
        <v>136</v>
      </c>
      <c r="B223" s="37" t="s">
        <v>13</v>
      </c>
      <c r="C223" s="34" t="s">
        <v>129</v>
      </c>
      <c r="D223" s="73">
        <v>3000000</v>
      </c>
      <c r="E223" s="52"/>
      <c r="F223" s="53">
        <f>F224+F230</f>
        <v>4389000</v>
      </c>
      <c r="G223" s="53">
        <f>G224</f>
        <v>5000000</v>
      </c>
      <c r="H223" s="53">
        <f>H224</f>
        <v>5800000</v>
      </c>
      <c r="I223" s="53">
        <f>I224+I230+I234</f>
        <v>3817708</v>
      </c>
      <c r="J223" s="53">
        <f>J224+J230+J234</f>
        <v>8206708</v>
      </c>
      <c r="K223" s="53">
        <f>K224+K230+K234</f>
        <v>-1500000</v>
      </c>
      <c r="L223" s="53">
        <f>L224+L230+L234</f>
        <v>6706708</v>
      </c>
      <c r="M223" s="53"/>
      <c r="N223" s="53">
        <f>N224+N230+N234+N232</f>
        <v>-577188.66</v>
      </c>
      <c r="O223" s="53">
        <f>O224+O229+O234</f>
        <v>6129519.3399999999</v>
      </c>
      <c r="P223" s="53">
        <f>P224+P230+P234+P232</f>
        <v>-345640.02</v>
      </c>
      <c r="Q223" s="53">
        <f>Q224+Q229+Q234</f>
        <v>5783879.3200000003</v>
      </c>
      <c r="R223" s="166"/>
      <c r="V223" s="9"/>
      <c r="Z223" s="9"/>
      <c r="AC223" s="9">
        <f>Q223</f>
        <v>5783879.3200000003</v>
      </c>
    </row>
    <row r="224" spans="1:29" x14ac:dyDescent="0.25">
      <c r="A224" s="45" t="s">
        <v>137</v>
      </c>
      <c r="B224" s="37" t="s">
        <v>13</v>
      </c>
      <c r="C224" s="34" t="s">
        <v>129</v>
      </c>
      <c r="D224" s="54">
        <v>3003001</v>
      </c>
      <c r="E224" s="52"/>
      <c r="F224" s="53">
        <f>+F225</f>
        <v>2889000</v>
      </c>
      <c r="G224" s="53">
        <f>G225+G230</f>
        <v>5000000</v>
      </c>
      <c r="H224" s="53">
        <f>H225+H230</f>
        <v>5800000</v>
      </c>
      <c r="I224" s="53">
        <f t="shared" ref="I224:J224" si="171">+I225</f>
        <v>0</v>
      </c>
      <c r="J224" s="53">
        <f t="shared" si="171"/>
        <v>2889000</v>
      </c>
      <c r="K224" s="53">
        <f>+K225+K228</f>
        <v>-1500000</v>
      </c>
      <c r="L224" s="53">
        <f>+L225+L228</f>
        <v>1389000</v>
      </c>
      <c r="M224" s="53"/>
      <c r="N224" s="53">
        <f>+N225+N228</f>
        <v>33811.360000000001</v>
      </c>
      <c r="O224" s="53">
        <f>+O225+O228</f>
        <v>1422811.36</v>
      </c>
      <c r="P224" s="53">
        <f>+P225+P228</f>
        <v>0</v>
      </c>
      <c r="Q224" s="53">
        <f>+Q225+Q228</f>
        <v>1422811.36</v>
      </c>
    </row>
    <row r="225" spans="1:28" ht="24.75" x14ac:dyDescent="0.25">
      <c r="A225" s="46" t="s">
        <v>44</v>
      </c>
      <c r="B225" s="37" t="s">
        <v>13</v>
      </c>
      <c r="C225" s="34" t="s">
        <v>129</v>
      </c>
      <c r="D225" s="54">
        <v>3003001</v>
      </c>
      <c r="E225" s="52" t="s">
        <v>74</v>
      </c>
      <c r="F225" s="53">
        <f>F226</f>
        <v>2889000</v>
      </c>
      <c r="G225" s="53">
        <f>G226</f>
        <v>3500000</v>
      </c>
      <c r="H225" s="53">
        <f>H226</f>
        <v>4000000</v>
      </c>
      <c r="I225" s="53">
        <f t="shared" ref="I225:Q225" si="172">I226</f>
        <v>0</v>
      </c>
      <c r="J225" s="53">
        <f t="shared" si="172"/>
        <v>2889000</v>
      </c>
      <c r="K225" s="53">
        <f t="shared" si="172"/>
        <v>-2889000</v>
      </c>
      <c r="L225" s="53">
        <f t="shared" si="172"/>
        <v>0</v>
      </c>
      <c r="M225" s="53"/>
      <c r="N225" s="53">
        <f t="shared" si="172"/>
        <v>34043</v>
      </c>
      <c r="O225" s="53">
        <f t="shared" si="172"/>
        <v>34043</v>
      </c>
      <c r="P225" s="53">
        <f t="shared" si="172"/>
        <v>0</v>
      </c>
      <c r="Q225" s="53">
        <f t="shared" si="172"/>
        <v>34043</v>
      </c>
      <c r="R225" s="144"/>
    </row>
    <row r="226" spans="1:28" ht="36.75" x14ac:dyDescent="0.25">
      <c r="A226" s="47" t="s">
        <v>23</v>
      </c>
      <c r="B226" s="37" t="s">
        <v>13</v>
      </c>
      <c r="C226" s="34" t="s">
        <v>129</v>
      </c>
      <c r="D226" s="54">
        <v>3003001</v>
      </c>
      <c r="E226" s="52" t="s">
        <v>24</v>
      </c>
      <c r="F226" s="53">
        <v>2889000</v>
      </c>
      <c r="G226" s="53">
        <v>3500000</v>
      </c>
      <c r="H226" s="53">
        <v>4000000</v>
      </c>
      <c r="I226" s="39">
        <f t="shared" ref="I226" si="173">+J226-F226</f>
        <v>0</v>
      </c>
      <c r="J226" s="53">
        <v>2889000</v>
      </c>
      <c r="K226" s="39">
        <v>-2889000</v>
      </c>
      <c r="L226" s="53">
        <f>+J226+K226</f>
        <v>0</v>
      </c>
      <c r="M226" s="53"/>
      <c r="N226" s="39">
        <v>34043</v>
      </c>
      <c r="O226" s="53">
        <f>+M226+N226</f>
        <v>34043</v>
      </c>
      <c r="P226" s="39"/>
      <c r="Q226" s="53">
        <f>+O226+P226</f>
        <v>34043</v>
      </c>
    </row>
    <row r="227" spans="1:28" x14ac:dyDescent="0.25">
      <c r="A227" s="47" t="s">
        <v>25</v>
      </c>
      <c r="B227" s="37" t="s">
        <v>13</v>
      </c>
      <c r="C227" s="34" t="s">
        <v>129</v>
      </c>
      <c r="D227" s="54">
        <v>3003001</v>
      </c>
      <c r="E227" s="52" t="s">
        <v>26</v>
      </c>
      <c r="F227" s="53"/>
      <c r="G227" s="53"/>
      <c r="H227" s="53"/>
      <c r="I227" s="39"/>
      <c r="J227" s="53"/>
      <c r="K227" s="39">
        <f>+K228</f>
        <v>1389000</v>
      </c>
      <c r="L227" s="53">
        <f>+L228</f>
        <v>1389000</v>
      </c>
      <c r="M227" s="53"/>
      <c r="N227" s="39">
        <f>+N228</f>
        <v>-231.64</v>
      </c>
      <c r="O227" s="53">
        <f>+O228</f>
        <v>1388768.36</v>
      </c>
      <c r="P227" s="39">
        <f>+P228</f>
        <v>0</v>
      </c>
      <c r="Q227" s="53">
        <f>+Q228</f>
        <v>1388768.36</v>
      </c>
    </row>
    <row r="228" spans="1:28" ht="36.75" x14ac:dyDescent="0.25">
      <c r="A228" s="47" t="s">
        <v>57</v>
      </c>
      <c r="B228" s="37" t="s">
        <v>13</v>
      </c>
      <c r="C228" s="34" t="s">
        <v>129</v>
      </c>
      <c r="D228" s="54">
        <v>3003001</v>
      </c>
      <c r="E228" s="52" t="s">
        <v>77</v>
      </c>
      <c r="F228" s="53"/>
      <c r="G228" s="53"/>
      <c r="H228" s="53"/>
      <c r="I228" s="39"/>
      <c r="J228" s="53"/>
      <c r="K228" s="39">
        <v>1389000</v>
      </c>
      <c r="L228" s="53">
        <f>+J228+K228</f>
        <v>1389000</v>
      </c>
      <c r="M228" s="53"/>
      <c r="N228" s="39">
        <f>-231.64</f>
        <v>-231.64</v>
      </c>
      <c r="O228" s="53">
        <f>L228+N228</f>
        <v>1388768.36</v>
      </c>
      <c r="P228" s="39"/>
      <c r="Q228" s="53">
        <f>O228+P228</f>
        <v>1388768.36</v>
      </c>
    </row>
    <row r="229" spans="1:28" ht="25.5" customHeight="1" x14ac:dyDescent="0.25">
      <c r="A229" s="45" t="s">
        <v>138</v>
      </c>
      <c r="B229" s="37" t="s">
        <v>13</v>
      </c>
      <c r="C229" s="34" t="s">
        <v>129</v>
      </c>
      <c r="D229" s="54">
        <v>3003002</v>
      </c>
      <c r="E229" s="52"/>
      <c r="F229" s="53"/>
      <c r="G229" s="53"/>
      <c r="H229" s="53"/>
      <c r="I229" s="53"/>
      <c r="J229" s="53">
        <f>J230</f>
        <v>1590000</v>
      </c>
      <c r="K229" s="53"/>
      <c r="L229" s="53">
        <f>L230+L232</f>
        <v>1590000</v>
      </c>
      <c r="M229" s="53"/>
      <c r="N229" s="53">
        <f>N230+N232</f>
        <v>-611000.02</v>
      </c>
      <c r="O229" s="53">
        <f>O230+O232</f>
        <v>978999.98</v>
      </c>
      <c r="P229" s="53">
        <f>P230+P232</f>
        <v>-345640.02</v>
      </c>
      <c r="Q229" s="53">
        <f>Q230+Q232</f>
        <v>633359.96</v>
      </c>
      <c r="R229" s="166"/>
    </row>
    <row r="230" spans="1:28" x14ac:dyDescent="0.25">
      <c r="A230" s="47" t="s">
        <v>25</v>
      </c>
      <c r="B230" s="37" t="s">
        <v>13</v>
      </c>
      <c r="C230" s="34" t="s">
        <v>129</v>
      </c>
      <c r="D230" s="54">
        <v>3003002</v>
      </c>
      <c r="E230" s="52" t="s">
        <v>26</v>
      </c>
      <c r="F230" s="53">
        <f>F231</f>
        <v>1500000</v>
      </c>
      <c r="G230" s="53">
        <f>G231</f>
        <v>1500000</v>
      </c>
      <c r="H230" s="53">
        <f>H231</f>
        <v>1800000</v>
      </c>
      <c r="I230" s="53">
        <f t="shared" ref="I230:P230" si="174">I231</f>
        <v>90000</v>
      </c>
      <c r="J230" s="53">
        <f t="shared" si="174"/>
        <v>1590000</v>
      </c>
      <c r="K230" s="53">
        <f t="shared" si="174"/>
        <v>0</v>
      </c>
      <c r="L230" s="53">
        <f t="shared" si="174"/>
        <v>1590000</v>
      </c>
      <c r="M230" s="53"/>
      <c r="N230" s="53">
        <f t="shared" si="174"/>
        <v>-774798</v>
      </c>
      <c r="O230" s="53">
        <f>O231</f>
        <v>815202</v>
      </c>
      <c r="P230" s="53">
        <f t="shared" si="174"/>
        <v>-345640.02</v>
      </c>
      <c r="Q230" s="53">
        <f>Q231</f>
        <v>469561.98</v>
      </c>
    </row>
    <row r="231" spans="1:28" ht="36.75" x14ac:dyDescent="0.25">
      <c r="A231" s="47" t="s">
        <v>57</v>
      </c>
      <c r="B231" s="37" t="s">
        <v>13</v>
      </c>
      <c r="C231" s="34" t="s">
        <v>129</v>
      </c>
      <c r="D231" s="54">
        <v>3003002</v>
      </c>
      <c r="E231" s="52" t="s">
        <v>77</v>
      </c>
      <c r="F231" s="53">
        <f>3000000-1500000</f>
        <v>1500000</v>
      </c>
      <c r="G231" s="53">
        <v>1500000</v>
      </c>
      <c r="H231" s="53">
        <v>1800000</v>
      </c>
      <c r="I231" s="39">
        <f t="shared" ref="I231:I236" si="175">+J231-F231</f>
        <v>90000</v>
      </c>
      <c r="J231" s="53">
        <f>1500000+90000</f>
        <v>1590000</v>
      </c>
      <c r="K231" s="39"/>
      <c r="L231" s="53">
        <f>1500000+90000</f>
        <v>1590000</v>
      </c>
      <c r="M231" s="119" t="s">
        <v>280</v>
      </c>
      <c r="N231" s="39">
        <f>-611000-163798</f>
        <v>-774798</v>
      </c>
      <c r="O231" s="53">
        <f>L231+N231</f>
        <v>815202</v>
      </c>
      <c r="P231" s="39">
        <v>-345640.02</v>
      </c>
      <c r="Q231" s="53">
        <f>O231+P231</f>
        <v>469561.98</v>
      </c>
      <c r="R231" s="162"/>
    </row>
    <row r="232" spans="1:28" ht="24.75" x14ac:dyDescent="0.25">
      <c r="A232" s="46" t="s">
        <v>44</v>
      </c>
      <c r="B232" s="37" t="s">
        <v>13</v>
      </c>
      <c r="C232" s="34" t="s">
        <v>129</v>
      </c>
      <c r="D232" s="54">
        <v>3003002</v>
      </c>
      <c r="E232" s="52" t="s">
        <v>74</v>
      </c>
      <c r="F232" s="53"/>
      <c r="G232" s="53"/>
      <c r="H232" s="53"/>
      <c r="I232" s="39"/>
      <c r="J232" s="53"/>
      <c r="K232" s="39"/>
      <c r="L232" s="53">
        <f>L233</f>
        <v>0</v>
      </c>
      <c r="M232" s="119"/>
      <c r="N232" s="39">
        <f>N233</f>
        <v>163797.98000000001</v>
      </c>
      <c r="O232" s="53">
        <f>O233</f>
        <v>163797.98000000001</v>
      </c>
      <c r="P232" s="39">
        <f>P233</f>
        <v>0</v>
      </c>
      <c r="Q232" s="53">
        <f>Q233</f>
        <v>163797.98000000001</v>
      </c>
      <c r="R232" s="163"/>
    </row>
    <row r="233" spans="1:28" ht="36.75" x14ac:dyDescent="0.25">
      <c r="A233" s="47" t="s">
        <v>23</v>
      </c>
      <c r="B233" s="37" t="s">
        <v>13</v>
      </c>
      <c r="C233" s="34" t="s">
        <v>129</v>
      </c>
      <c r="D233" s="54">
        <v>3003002</v>
      </c>
      <c r="E233" s="52" t="s">
        <v>24</v>
      </c>
      <c r="F233" s="53"/>
      <c r="G233" s="53"/>
      <c r="H233" s="53"/>
      <c r="I233" s="39"/>
      <c r="J233" s="53"/>
      <c r="K233" s="39"/>
      <c r="L233" s="53"/>
      <c r="M233" s="119"/>
      <c r="N233" s="39">
        <v>163797.98000000001</v>
      </c>
      <c r="O233" s="53">
        <f>L233+N233</f>
        <v>163797.98000000001</v>
      </c>
      <c r="P233" s="39"/>
      <c r="Q233" s="53">
        <f>N233+P233</f>
        <v>163797.98000000001</v>
      </c>
      <c r="R233" s="163"/>
    </row>
    <row r="234" spans="1:28" ht="60.75" x14ac:dyDescent="0.25">
      <c r="A234" s="72" t="s">
        <v>262</v>
      </c>
      <c r="B234" s="37" t="s">
        <v>13</v>
      </c>
      <c r="C234" s="34" t="s">
        <v>129</v>
      </c>
      <c r="D234" s="54">
        <v>3008911</v>
      </c>
      <c r="E234" s="52"/>
      <c r="F234" s="53"/>
      <c r="G234" s="53"/>
      <c r="H234" s="53"/>
      <c r="I234" s="39">
        <f t="shared" si="175"/>
        <v>3727708</v>
      </c>
      <c r="J234" s="53">
        <f>+J235</f>
        <v>3727708</v>
      </c>
      <c r="K234" s="39">
        <f>K235</f>
        <v>0</v>
      </c>
      <c r="L234" s="53">
        <f>+L235</f>
        <v>3727708</v>
      </c>
      <c r="M234" s="53"/>
      <c r="N234" s="39">
        <f>N235</f>
        <v>0</v>
      </c>
      <c r="O234" s="53">
        <f>+O235</f>
        <v>3727708</v>
      </c>
      <c r="P234" s="39">
        <f>P235</f>
        <v>0</v>
      </c>
      <c r="Q234" s="53">
        <f>+Q235</f>
        <v>3727708</v>
      </c>
    </row>
    <row r="235" spans="1:28" x14ac:dyDescent="0.25">
      <c r="A235" s="47" t="s">
        <v>25</v>
      </c>
      <c r="B235" s="37" t="s">
        <v>13</v>
      </c>
      <c r="C235" s="34" t="s">
        <v>129</v>
      </c>
      <c r="D235" s="54">
        <v>3008911</v>
      </c>
      <c r="E235" s="52" t="s">
        <v>26</v>
      </c>
      <c r="F235" s="53"/>
      <c r="G235" s="53"/>
      <c r="H235" s="53"/>
      <c r="I235" s="39">
        <f t="shared" si="175"/>
        <v>3727708</v>
      </c>
      <c r="J235" s="53">
        <f>+J236</f>
        <v>3727708</v>
      </c>
      <c r="K235" s="39">
        <f>K236</f>
        <v>0</v>
      </c>
      <c r="L235" s="53">
        <f>+L236</f>
        <v>3727708</v>
      </c>
      <c r="M235" s="117" t="s">
        <v>274</v>
      </c>
      <c r="N235" s="39">
        <f>N236</f>
        <v>0</v>
      </c>
      <c r="O235" s="53">
        <f>+O236</f>
        <v>3727708</v>
      </c>
      <c r="P235" s="39">
        <f>P236</f>
        <v>0</v>
      </c>
      <c r="Q235" s="53">
        <f>+Q236</f>
        <v>3727708</v>
      </c>
    </row>
    <row r="236" spans="1:28" ht="36.75" x14ac:dyDescent="0.25">
      <c r="A236" s="47" t="s">
        <v>57</v>
      </c>
      <c r="B236" s="37" t="s">
        <v>13</v>
      </c>
      <c r="C236" s="34" t="s">
        <v>129</v>
      </c>
      <c r="D236" s="54">
        <v>3008911</v>
      </c>
      <c r="E236" s="52" t="s">
        <v>77</v>
      </c>
      <c r="F236" s="53"/>
      <c r="G236" s="53"/>
      <c r="H236" s="53"/>
      <c r="I236" s="39">
        <f t="shared" si="175"/>
        <v>3727708</v>
      </c>
      <c r="J236" s="53">
        <v>3727708</v>
      </c>
      <c r="K236" s="39"/>
      <c r="L236" s="53">
        <v>3727708</v>
      </c>
      <c r="M236" s="53"/>
      <c r="N236" s="39"/>
      <c r="O236" s="53">
        <v>3727708</v>
      </c>
      <c r="P236" s="39"/>
      <c r="Q236" s="53">
        <v>3727708</v>
      </c>
    </row>
    <row r="237" spans="1:28" ht="48.75" x14ac:dyDescent="0.25">
      <c r="A237" s="127" t="s">
        <v>127</v>
      </c>
      <c r="B237" s="37" t="s">
        <v>13</v>
      </c>
      <c r="C237" s="34" t="s">
        <v>129</v>
      </c>
      <c r="D237" s="34" t="s">
        <v>71</v>
      </c>
      <c r="E237" s="35"/>
      <c r="F237" s="53">
        <f>F238+F245</f>
        <v>26133000</v>
      </c>
      <c r="G237" s="53">
        <f>G238</f>
        <v>16195000</v>
      </c>
      <c r="H237" s="53">
        <f>H238</f>
        <v>17255000</v>
      </c>
      <c r="I237" s="53">
        <f t="shared" ref="I237:J237" si="176">I238+I245</f>
        <v>0</v>
      </c>
      <c r="J237" s="53">
        <f t="shared" si="176"/>
        <v>26133000</v>
      </c>
      <c r="K237" s="53">
        <f t="shared" ref="K237:L237" si="177">K238+K245</f>
        <v>30412000</v>
      </c>
      <c r="L237" s="53">
        <f t="shared" si="177"/>
        <v>56545000</v>
      </c>
      <c r="M237" s="53"/>
      <c r="N237" s="53">
        <f t="shared" ref="N237:O237" si="178">N238+N245</f>
        <v>0</v>
      </c>
      <c r="O237" s="53">
        <f t="shared" si="178"/>
        <v>56545000</v>
      </c>
      <c r="P237" s="53">
        <f t="shared" ref="P237:Q237" si="179">P238+P245</f>
        <v>-24847395.539999999</v>
      </c>
      <c r="Q237" s="53">
        <f t="shared" si="179"/>
        <v>31697604.460000001</v>
      </c>
      <c r="U237" s="9"/>
      <c r="X237" s="9">
        <f>Q237</f>
        <v>31697604.460000001</v>
      </c>
      <c r="AB237" s="9"/>
    </row>
    <row r="238" spans="1:28" ht="24" x14ac:dyDescent="0.25">
      <c r="A238" s="61" t="s">
        <v>75</v>
      </c>
      <c r="B238" s="37" t="s">
        <v>13</v>
      </c>
      <c r="C238" s="34" t="s">
        <v>129</v>
      </c>
      <c r="D238" s="34" t="s">
        <v>76</v>
      </c>
      <c r="E238" s="34"/>
      <c r="F238" s="53">
        <f>F239+F241</f>
        <v>16133000</v>
      </c>
      <c r="G238" s="53">
        <f>G239+G241</f>
        <v>16195000</v>
      </c>
      <c r="H238" s="53">
        <f>H239+H241</f>
        <v>17255000</v>
      </c>
      <c r="I238" s="53">
        <f t="shared" ref="I238:J238" si="180">I239+I241</f>
        <v>0</v>
      </c>
      <c r="J238" s="53">
        <f t="shared" si="180"/>
        <v>16133000</v>
      </c>
      <c r="K238" s="53">
        <f t="shared" ref="K238:L238" si="181">K239+K241</f>
        <v>10412000</v>
      </c>
      <c r="L238" s="53">
        <f t="shared" si="181"/>
        <v>26545000</v>
      </c>
      <c r="M238" s="53"/>
      <c r="N238" s="53">
        <f t="shared" ref="N238" si="182">N239+N241</f>
        <v>0</v>
      </c>
      <c r="O238" s="53">
        <f>L238+N238</f>
        <v>26545000</v>
      </c>
      <c r="P238" s="53">
        <f t="shared" ref="P238" si="183">P239+P241</f>
        <v>5152604.46</v>
      </c>
      <c r="Q238" s="53">
        <f>O238+P238</f>
        <v>31697604.460000001</v>
      </c>
    </row>
    <row r="239" spans="1:28" ht="24.75" x14ac:dyDescent="0.25">
      <c r="A239" s="46" t="s">
        <v>44</v>
      </c>
      <c r="B239" s="37" t="s">
        <v>13</v>
      </c>
      <c r="C239" s="34" t="s">
        <v>129</v>
      </c>
      <c r="D239" s="34" t="s">
        <v>76</v>
      </c>
      <c r="E239" s="34" t="s">
        <v>74</v>
      </c>
      <c r="F239" s="53">
        <f>F240</f>
        <v>106000</v>
      </c>
      <c r="G239" s="53">
        <f>G240</f>
        <v>111300</v>
      </c>
      <c r="H239" s="53">
        <f>H240</f>
        <v>117000</v>
      </c>
      <c r="I239" s="53">
        <f t="shared" ref="I239:Q239" si="184">I240</f>
        <v>0</v>
      </c>
      <c r="J239" s="53">
        <f t="shared" si="184"/>
        <v>106000</v>
      </c>
      <c r="K239" s="53">
        <f t="shared" si="184"/>
        <v>412000</v>
      </c>
      <c r="L239" s="53">
        <f t="shared" si="184"/>
        <v>518000</v>
      </c>
      <c r="M239" s="53"/>
      <c r="N239" s="53">
        <f t="shared" si="184"/>
        <v>0</v>
      </c>
      <c r="O239" s="53">
        <f t="shared" si="184"/>
        <v>518000</v>
      </c>
      <c r="P239" s="53">
        <f t="shared" si="184"/>
        <v>-220699.54</v>
      </c>
      <c r="Q239" s="53">
        <f t="shared" si="184"/>
        <v>297300.45999999996</v>
      </c>
    </row>
    <row r="240" spans="1:28" ht="36.75" x14ac:dyDescent="0.25">
      <c r="A240" s="47" t="s">
        <v>23</v>
      </c>
      <c r="B240" s="37" t="s">
        <v>13</v>
      </c>
      <c r="C240" s="34" t="s">
        <v>129</v>
      </c>
      <c r="D240" s="34" t="s">
        <v>76</v>
      </c>
      <c r="E240" s="34" t="s">
        <v>24</v>
      </c>
      <c r="F240" s="53">
        <v>106000</v>
      </c>
      <c r="G240" s="53">
        <v>111300</v>
      </c>
      <c r="H240" s="53">
        <v>117000</v>
      </c>
      <c r="I240" s="53"/>
      <c r="J240" s="53">
        <v>106000</v>
      </c>
      <c r="K240" s="53">
        <f>100000+312000</f>
        <v>412000</v>
      </c>
      <c r="L240" s="53">
        <f>+J240+K240</f>
        <v>518000</v>
      </c>
      <c r="M240" s="53"/>
      <c r="N240" s="53"/>
      <c r="O240" s="53">
        <f>L240</f>
        <v>518000</v>
      </c>
      <c r="P240" s="53">
        <v>-220699.54</v>
      </c>
      <c r="Q240" s="53">
        <f>O240+P240</f>
        <v>297300.45999999996</v>
      </c>
    </row>
    <row r="241" spans="1:37" x14ac:dyDescent="0.25">
      <c r="A241" s="47" t="s">
        <v>25</v>
      </c>
      <c r="B241" s="37" t="s">
        <v>13</v>
      </c>
      <c r="C241" s="34" t="s">
        <v>129</v>
      </c>
      <c r="D241" s="34" t="s">
        <v>76</v>
      </c>
      <c r="E241" s="34" t="s">
        <v>26</v>
      </c>
      <c r="F241" s="53">
        <f>F242</f>
        <v>16027000</v>
      </c>
      <c r="G241" s="53">
        <f>G242</f>
        <v>16083700</v>
      </c>
      <c r="H241" s="53">
        <f>H242</f>
        <v>17138000</v>
      </c>
      <c r="I241" s="53">
        <f t="shared" ref="I241:Q241" si="185">I242</f>
        <v>0</v>
      </c>
      <c r="J241" s="53">
        <f t="shared" si="185"/>
        <v>16027000</v>
      </c>
      <c r="K241" s="53">
        <f t="shared" si="185"/>
        <v>10000000</v>
      </c>
      <c r="L241" s="53">
        <f t="shared" si="185"/>
        <v>26027000</v>
      </c>
      <c r="M241" s="53"/>
      <c r="N241" s="53">
        <f>N242</f>
        <v>0</v>
      </c>
      <c r="O241" s="53">
        <f t="shared" si="185"/>
        <v>26027000</v>
      </c>
      <c r="P241" s="53">
        <f>P242</f>
        <v>5373304</v>
      </c>
      <c r="Q241" s="53">
        <f t="shared" si="185"/>
        <v>31400304</v>
      </c>
    </row>
    <row r="242" spans="1:37" ht="36.75" x14ac:dyDescent="0.25">
      <c r="A242" s="47" t="s">
        <v>57</v>
      </c>
      <c r="B242" s="37" t="s">
        <v>13</v>
      </c>
      <c r="C242" s="34" t="s">
        <v>129</v>
      </c>
      <c r="D242" s="34" t="s">
        <v>76</v>
      </c>
      <c r="E242" s="34" t="s">
        <v>77</v>
      </c>
      <c r="F242" s="53">
        <f>31027000-5000000-10000000</f>
        <v>16027000</v>
      </c>
      <c r="G242" s="53">
        <f>15000000+1083700</f>
        <v>16083700</v>
      </c>
      <c r="H242" s="53">
        <f>16000000+1138000</f>
        <v>17138000</v>
      </c>
      <c r="I242" s="39">
        <f t="shared" ref="I242" si="186">+J242-F242</f>
        <v>0</v>
      </c>
      <c r="J242" s="53">
        <v>16027000</v>
      </c>
      <c r="K242" s="39">
        <v>10000000</v>
      </c>
      <c r="L242" s="53">
        <f>+J242+K242</f>
        <v>26027000</v>
      </c>
      <c r="M242" s="53"/>
      <c r="N242" s="39"/>
      <c r="O242" s="53">
        <f>L242+N242</f>
        <v>26027000</v>
      </c>
      <c r="P242" s="39">
        <f>3000000-226696+2600000</f>
        <v>5373304</v>
      </c>
      <c r="Q242" s="53">
        <f>O242+P242</f>
        <v>31400304</v>
      </c>
    </row>
    <row r="243" spans="1:37" ht="22.9" customHeight="1" x14ac:dyDescent="0.25">
      <c r="A243" s="75" t="s">
        <v>139</v>
      </c>
      <c r="B243" s="37" t="s">
        <v>13</v>
      </c>
      <c r="C243" s="34" t="s">
        <v>129</v>
      </c>
      <c r="D243" s="34" t="s">
        <v>140</v>
      </c>
      <c r="E243" s="34"/>
      <c r="F243" s="53"/>
      <c r="G243" s="53"/>
      <c r="H243" s="53"/>
      <c r="I243" s="53"/>
      <c r="J243" s="53">
        <f>J244</f>
        <v>10000000</v>
      </c>
      <c r="K243" s="53">
        <f>+K244</f>
        <v>20000000</v>
      </c>
      <c r="L243" s="53">
        <f>L244</f>
        <v>30000000</v>
      </c>
      <c r="M243" s="53"/>
      <c r="N243" s="53">
        <f>+N244</f>
        <v>0</v>
      </c>
      <c r="O243" s="53">
        <f>O244</f>
        <v>30000000</v>
      </c>
      <c r="P243" s="53">
        <f>+P244</f>
        <v>-30000000</v>
      </c>
      <c r="Q243" s="53">
        <f>Q244</f>
        <v>0</v>
      </c>
    </row>
    <row r="244" spans="1:37" x14ac:dyDescent="0.25">
      <c r="A244" s="75" t="s">
        <v>25</v>
      </c>
      <c r="B244" s="37" t="s">
        <v>13</v>
      </c>
      <c r="C244" s="34" t="s">
        <v>129</v>
      </c>
      <c r="D244" s="34" t="s">
        <v>140</v>
      </c>
      <c r="E244" s="34" t="s">
        <v>26</v>
      </c>
      <c r="F244" s="53">
        <f>+F245</f>
        <v>10000000</v>
      </c>
      <c r="G244" s="53"/>
      <c r="H244" s="53"/>
      <c r="I244" s="53">
        <f t="shared" ref="I244:Q244" si="187">+I245</f>
        <v>0</v>
      </c>
      <c r="J244" s="53">
        <f t="shared" si="187"/>
        <v>10000000</v>
      </c>
      <c r="K244" s="53">
        <f t="shared" si="187"/>
        <v>20000000</v>
      </c>
      <c r="L244" s="53">
        <f t="shared" si="187"/>
        <v>30000000</v>
      </c>
      <c r="M244" s="53"/>
      <c r="N244" s="53">
        <f t="shared" si="187"/>
        <v>0</v>
      </c>
      <c r="O244" s="53">
        <f t="shared" si="187"/>
        <v>30000000</v>
      </c>
      <c r="P244" s="53">
        <f t="shared" si="187"/>
        <v>-30000000</v>
      </c>
      <c r="Q244" s="53">
        <f t="shared" si="187"/>
        <v>0</v>
      </c>
    </row>
    <row r="245" spans="1:37" ht="48" x14ac:dyDescent="0.25">
      <c r="A245" s="75" t="s">
        <v>141</v>
      </c>
      <c r="B245" s="37" t="s">
        <v>13</v>
      </c>
      <c r="C245" s="34" t="s">
        <v>129</v>
      </c>
      <c r="D245" s="34" t="s">
        <v>140</v>
      </c>
      <c r="E245" s="34" t="s">
        <v>142</v>
      </c>
      <c r="F245" s="53">
        <v>10000000</v>
      </c>
      <c r="G245" s="53"/>
      <c r="H245" s="53"/>
      <c r="I245" s="39">
        <f t="shared" ref="I245" si="188">+J245-F245</f>
        <v>0</v>
      </c>
      <c r="J245" s="53">
        <v>10000000</v>
      </c>
      <c r="K245" s="39">
        <f>-10000000+30000000</f>
        <v>20000000</v>
      </c>
      <c r="L245" s="53">
        <f>+J245+K245</f>
        <v>30000000</v>
      </c>
      <c r="M245" s="53"/>
      <c r="N245" s="39"/>
      <c r="O245" s="53">
        <f>L245</f>
        <v>30000000</v>
      </c>
      <c r="P245" s="39">
        <v>-30000000</v>
      </c>
      <c r="Q245" s="53">
        <f>O245+P245</f>
        <v>0</v>
      </c>
    </row>
    <row r="246" spans="1:37" ht="36.75" x14ac:dyDescent="0.25">
      <c r="A246" s="132" t="s">
        <v>295</v>
      </c>
      <c r="B246" s="37" t="s">
        <v>13</v>
      </c>
      <c r="C246" s="34" t="s">
        <v>129</v>
      </c>
      <c r="D246" s="34" t="s">
        <v>294</v>
      </c>
      <c r="E246" s="34"/>
      <c r="F246" s="53"/>
      <c r="G246" s="53"/>
      <c r="H246" s="53"/>
      <c r="I246" s="39"/>
      <c r="J246" s="53"/>
      <c r="K246" s="39">
        <f>+K247</f>
        <v>10500000</v>
      </c>
      <c r="L246" s="53">
        <f>+L247</f>
        <v>10500000</v>
      </c>
      <c r="M246" s="53"/>
      <c r="N246" s="39">
        <f>+N247</f>
        <v>541840.96</v>
      </c>
      <c r="O246" s="53">
        <f>+O247</f>
        <v>11041840.960000001</v>
      </c>
      <c r="P246" s="39">
        <f>+P247</f>
        <v>0</v>
      </c>
      <c r="Q246" s="53">
        <f>+Q247</f>
        <v>11041840.960000001</v>
      </c>
      <c r="R246" s="165"/>
      <c r="AK246" s="9">
        <f>Q246</f>
        <v>11041840.960000001</v>
      </c>
    </row>
    <row r="247" spans="1:37" ht="58.5" customHeight="1" x14ac:dyDescent="0.25">
      <c r="A247" s="61" t="s">
        <v>296</v>
      </c>
      <c r="B247" s="37" t="s">
        <v>13</v>
      </c>
      <c r="C247" s="34" t="s">
        <v>129</v>
      </c>
      <c r="D247" s="34" t="s">
        <v>293</v>
      </c>
      <c r="E247" s="34"/>
      <c r="F247" s="53"/>
      <c r="G247" s="53"/>
      <c r="H247" s="53"/>
      <c r="I247" s="39"/>
      <c r="J247" s="53"/>
      <c r="K247" s="39">
        <f>+K248+K251</f>
        <v>10500000</v>
      </c>
      <c r="L247" s="39">
        <f>+L248+L251</f>
        <v>10500000</v>
      </c>
      <c r="M247" s="53"/>
      <c r="N247" s="39">
        <f>+N248+N251</f>
        <v>541840.96</v>
      </c>
      <c r="O247" s="39">
        <f>+O248+O251</f>
        <v>11041840.960000001</v>
      </c>
      <c r="P247" s="39">
        <f>+P248+P251</f>
        <v>0</v>
      </c>
      <c r="Q247" s="39">
        <f>+Q248+Q251</f>
        <v>11041840.960000001</v>
      </c>
      <c r="R247" s="166"/>
    </row>
    <row r="248" spans="1:37" ht="24.75" x14ac:dyDescent="0.25">
      <c r="A248" s="46" t="s">
        <v>44</v>
      </c>
      <c r="B248" s="37" t="s">
        <v>13</v>
      </c>
      <c r="C248" s="34" t="s">
        <v>129</v>
      </c>
      <c r="D248" s="34" t="s">
        <v>293</v>
      </c>
      <c r="E248" s="34" t="s">
        <v>74</v>
      </c>
      <c r="F248" s="53"/>
      <c r="G248" s="53"/>
      <c r="H248" s="53"/>
      <c r="I248" s="39"/>
      <c r="J248" s="53"/>
      <c r="K248" s="39">
        <f>+K249</f>
        <v>1500000</v>
      </c>
      <c r="L248" s="53">
        <f>+L249</f>
        <v>1500000</v>
      </c>
      <c r="M248" s="53"/>
      <c r="N248" s="39">
        <f>+N249</f>
        <v>541840.96</v>
      </c>
      <c r="O248" s="53">
        <f>+O249</f>
        <v>2041840.96</v>
      </c>
      <c r="P248" s="39">
        <f>+P249</f>
        <v>0</v>
      </c>
      <c r="Q248" s="53">
        <f>+Q249</f>
        <v>2041840.96</v>
      </c>
    </row>
    <row r="249" spans="1:37" ht="36.75" x14ac:dyDescent="0.25">
      <c r="A249" s="47" t="s">
        <v>23</v>
      </c>
      <c r="B249" s="37" t="s">
        <v>13</v>
      </c>
      <c r="C249" s="34" t="s">
        <v>129</v>
      </c>
      <c r="D249" s="34" t="s">
        <v>293</v>
      </c>
      <c r="E249" s="34" t="s">
        <v>24</v>
      </c>
      <c r="F249" s="53"/>
      <c r="G249" s="53"/>
      <c r="H249" s="53"/>
      <c r="I249" s="39"/>
      <c r="J249" s="53"/>
      <c r="K249" s="39">
        <v>1500000</v>
      </c>
      <c r="L249" s="53">
        <f>+J249+K249</f>
        <v>1500000</v>
      </c>
      <c r="M249" s="53"/>
      <c r="N249" s="39">
        <f>231.64-69390.68+611000</f>
        <v>541840.96</v>
      </c>
      <c r="O249" s="53">
        <f>L249+N249</f>
        <v>2041840.96</v>
      </c>
      <c r="P249" s="39"/>
      <c r="Q249" s="53">
        <f>O249+P249</f>
        <v>2041840.96</v>
      </c>
    </row>
    <row r="250" spans="1:37" ht="48.75" x14ac:dyDescent="0.25">
      <c r="A250" s="42" t="s">
        <v>292</v>
      </c>
      <c r="B250" s="37" t="s">
        <v>13</v>
      </c>
      <c r="C250" s="34" t="s">
        <v>129</v>
      </c>
      <c r="D250" s="34" t="s">
        <v>289</v>
      </c>
      <c r="E250" s="34"/>
      <c r="F250" s="53"/>
      <c r="G250" s="53"/>
      <c r="H250" s="53"/>
      <c r="I250" s="39"/>
      <c r="J250" s="53"/>
      <c r="K250" s="39">
        <f>K251</f>
        <v>9000000</v>
      </c>
      <c r="L250" s="53">
        <f>L251</f>
        <v>9000000</v>
      </c>
      <c r="M250" s="53"/>
      <c r="N250" s="39">
        <f>N251</f>
        <v>0</v>
      </c>
      <c r="O250" s="53">
        <f>O251</f>
        <v>9000000</v>
      </c>
      <c r="P250" s="39">
        <f>P251</f>
        <v>0</v>
      </c>
      <c r="Q250" s="53">
        <f>Q251</f>
        <v>9000000</v>
      </c>
      <c r="AK250" s="9"/>
    </row>
    <row r="251" spans="1:37" ht="24.75" x14ac:dyDescent="0.25">
      <c r="A251" s="46" t="s">
        <v>44</v>
      </c>
      <c r="B251" s="37" t="s">
        <v>13</v>
      </c>
      <c r="C251" s="34" t="s">
        <v>129</v>
      </c>
      <c r="D251" s="34" t="s">
        <v>289</v>
      </c>
      <c r="E251" s="34" t="s">
        <v>74</v>
      </c>
      <c r="F251" s="53"/>
      <c r="G251" s="53"/>
      <c r="H251" s="53"/>
      <c r="I251" s="39"/>
      <c r="J251" s="53"/>
      <c r="K251" s="39">
        <f>+K252</f>
        <v>9000000</v>
      </c>
      <c r="L251" s="53">
        <f>+L252</f>
        <v>9000000</v>
      </c>
      <c r="M251" s="53"/>
      <c r="N251" s="39">
        <f>+N252</f>
        <v>0</v>
      </c>
      <c r="O251" s="53">
        <f>+O252</f>
        <v>9000000</v>
      </c>
      <c r="P251" s="39">
        <f>+P252</f>
        <v>0</v>
      </c>
      <c r="Q251" s="53">
        <f>+Q252</f>
        <v>9000000</v>
      </c>
    </row>
    <row r="252" spans="1:37" ht="36.75" x14ac:dyDescent="0.25">
      <c r="A252" s="47" t="s">
        <v>23</v>
      </c>
      <c r="B252" s="37" t="s">
        <v>13</v>
      </c>
      <c r="C252" s="34" t="s">
        <v>129</v>
      </c>
      <c r="D252" s="34" t="s">
        <v>289</v>
      </c>
      <c r="E252" s="34" t="s">
        <v>24</v>
      </c>
      <c r="F252" s="53"/>
      <c r="G252" s="53"/>
      <c r="H252" s="53"/>
      <c r="I252" s="39"/>
      <c r="J252" s="53"/>
      <c r="K252" s="39">
        <v>9000000</v>
      </c>
      <c r="L252" s="53">
        <f>+J252+K252</f>
        <v>9000000</v>
      </c>
      <c r="M252" s="53"/>
      <c r="N252" s="39"/>
      <c r="O252" s="53">
        <f>L252</f>
        <v>9000000</v>
      </c>
      <c r="P252" s="39"/>
      <c r="Q252" s="53">
        <f>O252+P252</f>
        <v>9000000</v>
      </c>
    </row>
    <row r="253" spans="1:37" ht="24.75" x14ac:dyDescent="0.25">
      <c r="A253" s="62" t="s">
        <v>317</v>
      </c>
      <c r="B253" s="82" t="s">
        <v>13</v>
      </c>
      <c r="C253" s="74" t="s">
        <v>129</v>
      </c>
      <c r="D253" s="74" t="s">
        <v>266</v>
      </c>
      <c r="E253" s="34"/>
      <c r="F253" s="53"/>
      <c r="G253" s="53"/>
      <c r="H253" s="53"/>
      <c r="I253" s="39"/>
      <c r="J253" s="53"/>
      <c r="K253" s="39"/>
      <c r="L253" s="53">
        <f>L254</f>
        <v>0</v>
      </c>
      <c r="M253" s="53"/>
      <c r="N253" s="39">
        <f t="shared" ref="N253:Q254" si="189">N254</f>
        <v>5932610</v>
      </c>
      <c r="O253" s="53">
        <f t="shared" si="189"/>
        <v>5932610</v>
      </c>
      <c r="P253" s="39">
        <f>P254+P256</f>
        <v>-700000</v>
      </c>
      <c r="Q253" s="53">
        <f>Q254+Q255+Q256</f>
        <v>5232610</v>
      </c>
      <c r="R253" s="178"/>
    </row>
    <row r="254" spans="1:37" x14ac:dyDescent="0.25">
      <c r="A254" s="75" t="s">
        <v>25</v>
      </c>
      <c r="B254" s="37" t="s">
        <v>13</v>
      </c>
      <c r="C254" s="34" t="s">
        <v>129</v>
      </c>
      <c r="D254" s="34" t="s">
        <v>266</v>
      </c>
      <c r="E254" s="35">
        <v>800</v>
      </c>
      <c r="F254" s="53"/>
      <c r="G254" s="53"/>
      <c r="H254" s="53"/>
      <c r="I254" s="39"/>
      <c r="J254" s="53"/>
      <c r="K254" s="39"/>
      <c r="L254" s="53">
        <f>L255</f>
        <v>0</v>
      </c>
      <c r="M254" s="53"/>
      <c r="N254" s="39">
        <f t="shared" si="189"/>
        <v>5932610</v>
      </c>
      <c r="O254" s="53">
        <f t="shared" si="189"/>
        <v>5932610</v>
      </c>
      <c r="P254" s="39">
        <f t="shared" si="189"/>
        <v>-5932610</v>
      </c>
      <c r="Q254" s="53">
        <f t="shared" si="189"/>
        <v>0</v>
      </c>
    </row>
    <row r="255" spans="1:37" ht="37.9" customHeight="1" x14ac:dyDescent="0.25">
      <c r="A255" s="47" t="s">
        <v>57</v>
      </c>
      <c r="B255" s="37" t="s">
        <v>13</v>
      </c>
      <c r="C255" s="34" t="s">
        <v>129</v>
      </c>
      <c r="D255" s="34" t="s">
        <v>266</v>
      </c>
      <c r="E255" s="35">
        <v>810</v>
      </c>
      <c r="F255" s="53"/>
      <c r="G255" s="53"/>
      <c r="H255" s="53"/>
      <c r="I255" s="39"/>
      <c r="J255" s="53"/>
      <c r="K255" s="39"/>
      <c r="L255" s="53"/>
      <c r="M255" s="53"/>
      <c r="N255" s="39">
        <v>5932610</v>
      </c>
      <c r="O255" s="53">
        <f>L255+N255</f>
        <v>5932610</v>
      </c>
      <c r="P255" s="39">
        <v>-5932610</v>
      </c>
      <c r="Q255" s="53">
        <f>N255+P255</f>
        <v>0</v>
      </c>
    </row>
    <row r="256" spans="1:37" ht="12.6" customHeight="1" x14ac:dyDescent="0.25">
      <c r="A256" s="75" t="s">
        <v>25</v>
      </c>
      <c r="B256" s="37" t="s">
        <v>13</v>
      </c>
      <c r="C256" s="34" t="s">
        <v>129</v>
      </c>
      <c r="D256" s="34" t="s">
        <v>322</v>
      </c>
      <c r="E256" s="35">
        <v>800</v>
      </c>
      <c r="F256" s="53"/>
      <c r="G256" s="53"/>
      <c r="H256" s="53"/>
      <c r="I256" s="39"/>
      <c r="J256" s="53"/>
      <c r="K256" s="39"/>
      <c r="L256" s="53"/>
      <c r="M256" s="53"/>
      <c r="N256" s="39"/>
      <c r="O256" s="53"/>
      <c r="P256" s="39">
        <f>P257</f>
        <v>5232610</v>
      </c>
      <c r="Q256" s="53">
        <f>Q257</f>
        <v>5232610</v>
      </c>
    </row>
    <row r="257" spans="1:26" ht="37.9" customHeight="1" x14ac:dyDescent="0.25">
      <c r="A257" s="47" t="s">
        <v>57</v>
      </c>
      <c r="B257" s="37" t="s">
        <v>13</v>
      </c>
      <c r="C257" s="34" t="s">
        <v>129</v>
      </c>
      <c r="D257" s="34" t="s">
        <v>322</v>
      </c>
      <c r="E257" s="35">
        <v>810</v>
      </c>
      <c r="F257" s="53"/>
      <c r="G257" s="53"/>
      <c r="H257" s="53"/>
      <c r="I257" s="39"/>
      <c r="J257" s="53"/>
      <c r="K257" s="39"/>
      <c r="L257" s="53"/>
      <c r="M257" s="53"/>
      <c r="N257" s="39"/>
      <c r="O257" s="53"/>
      <c r="P257" s="39">
        <v>5232610</v>
      </c>
      <c r="Q257" s="53">
        <f>O257+P257</f>
        <v>5232610</v>
      </c>
      <c r="R257" s="144"/>
    </row>
    <row r="258" spans="1:26" x14ac:dyDescent="0.25">
      <c r="A258" s="32" t="s">
        <v>143</v>
      </c>
      <c r="B258" s="33" t="s">
        <v>13</v>
      </c>
      <c r="C258" s="29" t="s">
        <v>144</v>
      </c>
      <c r="D258" s="38"/>
      <c r="E258" s="38"/>
      <c r="F258" s="26">
        <f>+F269+F273+F287+F262</f>
        <v>26585319</v>
      </c>
      <c r="G258" s="26">
        <f>+G269+G273+G287+G262</f>
        <v>13903253</v>
      </c>
      <c r="H258" s="26">
        <f>+H269+H273+H287+H262</f>
        <v>14531151</v>
      </c>
      <c r="I258" s="26">
        <f>+I269+I273+I287+I262+I291</f>
        <v>5031472</v>
      </c>
      <c r="J258" s="26">
        <f>+J269+J273+J287+J262+J291</f>
        <v>31616791</v>
      </c>
      <c r="K258" s="26">
        <f>+K269+K273+K287+K262+K291</f>
        <v>51908</v>
      </c>
      <c r="L258" s="26">
        <f>+L269+L273+L287+L262+L291+L259</f>
        <v>31668699</v>
      </c>
      <c r="M258" s="26"/>
      <c r="N258" s="26">
        <f>+N269+N273+N287+N262+N291+N259</f>
        <v>-51422.790000000008</v>
      </c>
      <c r="O258" s="26">
        <f>+O269+O273+O287+O262+O291+O259</f>
        <v>31617276.210000001</v>
      </c>
      <c r="P258" s="26">
        <f>+P269+P273+P287+P262+P291+P259</f>
        <v>-442253.18999999994</v>
      </c>
      <c r="Q258" s="26">
        <f>+Q269+Q273+Q287+Q262+Q291+Q259</f>
        <v>31175023.02</v>
      </c>
      <c r="R258" s="172">
        <f>P265+P268+P276+P279+P281+P284+P290+P293</f>
        <v>-268253.18999999983</v>
      </c>
      <c r="S258" s="9"/>
    </row>
    <row r="259" spans="1:26" x14ac:dyDescent="0.25">
      <c r="A259" s="99" t="s">
        <v>286</v>
      </c>
      <c r="B259" s="86" t="s">
        <v>13</v>
      </c>
      <c r="C259" s="52" t="s">
        <v>144</v>
      </c>
      <c r="D259" s="34" t="s">
        <v>50</v>
      </c>
      <c r="E259" s="34" t="s">
        <v>287</v>
      </c>
      <c r="F259" s="26"/>
      <c r="G259" s="26"/>
      <c r="H259" s="26"/>
      <c r="I259" s="26"/>
      <c r="J259" s="26"/>
      <c r="K259" s="26"/>
      <c r="L259" s="157">
        <f>L260</f>
        <v>0</v>
      </c>
      <c r="M259" s="158"/>
      <c r="N259" s="53">
        <f t="shared" ref="N259:Q260" si="190">N260</f>
        <v>68372</v>
      </c>
      <c r="O259" s="53">
        <f t="shared" si="190"/>
        <v>68372</v>
      </c>
      <c r="P259" s="53">
        <f t="shared" si="190"/>
        <v>0</v>
      </c>
      <c r="Q259" s="53">
        <f t="shared" si="190"/>
        <v>68372</v>
      </c>
      <c r="R259" s="177">
        <f>P258-R258</f>
        <v>-174000.00000000012</v>
      </c>
      <c r="S259" s="9"/>
      <c r="T259" s="9">
        <f>Q259</f>
        <v>68372</v>
      </c>
    </row>
    <row r="260" spans="1:26" ht="24.75" x14ac:dyDescent="0.25">
      <c r="A260" s="46" t="s">
        <v>44</v>
      </c>
      <c r="B260" s="86" t="s">
        <v>13</v>
      </c>
      <c r="C260" s="52" t="s">
        <v>144</v>
      </c>
      <c r="D260" s="34" t="s">
        <v>50</v>
      </c>
      <c r="E260" s="54">
        <v>200</v>
      </c>
      <c r="F260" s="26"/>
      <c r="G260" s="26"/>
      <c r="H260" s="26"/>
      <c r="I260" s="26"/>
      <c r="J260" s="26"/>
      <c r="K260" s="26"/>
      <c r="L260" s="157">
        <f>L261</f>
        <v>0</v>
      </c>
      <c r="M260" s="157"/>
      <c r="N260" s="39">
        <f t="shared" si="190"/>
        <v>68372</v>
      </c>
      <c r="O260" s="39">
        <f t="shared" si="190"/>
        <v>68372</v>
      </c>
      <c r="P260" s="39">
        <f t="shared" si="190"/>
        <v>0</v>
      </c>
      <c r="Q260" s="39">
        <f t="shared" si="190"/>
        <v>68372</v>
      </c>
      <c r="R260" s="176"/>
      <c r="S260" s="9"/>
    </row>
    <row r="261" spans="1:26" ht="36.75" x14ac:dyDescent="0.25">
      <c r="A261" s="47" t="s">
        <v>23</v>
      </c>
      <c r="B261" s="86" t="s">
        <v>13</v>
      </c>
      <c r="C261" s="52" t="s">
        <v>144</v>
      </c>
      <c r="D261" s="34" t="s">
        <v>50</v>
      </c>
      <c r="E261" s="54">
        <v>240</v>
      </c>
      <c r="F261" s="26"/>
      <c r="G261" s="26"/>
      <c r="H261" s="26"/>
      <c r="I261" s="26"/>
      <c r="J261" s="26"/>
      <c r="K261" s="26"/>
      <c r="L261" s="157"/>
      <c r="M261" s="157"/>
      <c r="N261" s="39">
        <v>68372</v>
      </c>
      <c r="O261" s="39">
        <f>L261+N261</f>
        <v>68372</v>
      </c>
      <c r="P261" s="39"/>
      <c r="Q261" s="39">
        <f>N261+P261</f>
        <v>68372</v>
      </c>
      <c r="R261" s="176"/>
      <c r="S261" s="9"/>
    </row>
    <row r="262" spans="1:26" ht="48.75" x14ac:dyDescent="0.25">
      <c r="A262" s="51" t="s">
        <v>103</v>
      </c>
      <c r="B262" s="37" t="s">
        <v>13</v>
      </c>
      <c r="C262" s="34" t="s">
        <v>144</v>
      </c>
      <c r="D262" s="73" t="s">
        <v>104</v>
      </c>
      <c r="E262" s="54"/>
      <c r="F262" s="53">
        <f>F263+F266</f>
        <v>14414000</v>
      </c>
      <c r="G262" s="53">
        <f>G263+G266</f>
        <v>0</v>
      </c>
      <c r="H262" s="53">
        <f>H263+H266</f>
        <v>0</v>
      </c>
      <c r="I262" s="53">
        <f t="shared" ref="I262:J262" si="191">I263+I266</f>
        <v>-546853</v>
      </c>
      <c r="J262" s="53">
        <f t="shared" si="191"/>
        <v>13867147</v>
      </c>
      <c r="K262" s="53">
        <f t="shared" ref="K262:L262" si="192">K263+K266</f>
        <v>28908</v>
      </c>
      <c r="L262" s="53">
        <f t="shared" si="192"/>
        <v>13896055</v>
      </c>
      <c r="M262" s="53"/>
      <c r="N262" s="53">
        <f t="shared" ref="N262" si="193">N263+N266</f>
        <v>-91600</v>
      </c>
      <c r="O262" s="53">
        <f>O263+O266</f>
        <v>13804455</v>
      </c>
      <c r="P262" s="53">
        <f t="shared" ref="P262" si="194">P263+P266</f>
        <v>-14445.06</v>
      </c>
      <c r="Q262" s="53">
        <f>Q263+Q266</f>
        <v>13790009.939999999</v>
      </c>
      <c r="R262" s="166"/>
      <c r="S262" s="9"/>
      <c r="W262" s="9"/>
      <c r="Z262" s="9">
        <f>Q262</f>
        <v>13790009.939999999</v>
      </c>
    </row>
    <row r="263" spans="1:26" x14ac:dyDescent="0.25">
      <c r="A263" s="59" t="s">
        <v>130</v>
      </c>
      <c r="B263" s="37" t="s">
        <v>13</v>
      </c>
      <c r="C263" s="34" t="s">
        <v>144</v>
      </c>
      <c r="D263" s="73" t="s">
        <v>131</v>
      </c>
      <c r="E263" s="54"/>
      <c r="F263" s="53">
        <f t="shared" ref="F263:Q264" si="195">F264</f>
        <v>13214000</v>
      </c>
      <c r="G263" s="53">
        <f t="shared" si="195"/>
        <v>0</v>
      </c>
      <c r="H263" s="53">
        <f t="shared" si="195"/>
        <v>0</v>
      </c>
      <c r="I263" s="53">
        <f t="shared" si="195"/>
        <v>-546853</v>
      </c>
      <c r="J263" s="53">
        <f t="shared" si="195"/>
        <v>12667147</v>
      </c>
      <c r="K263" s="53">
        <f t="shared" si="195"/>
        <v>28908</v>
      </c>
      <c r="L263" s="53">
        <f t="shared" si="195"/>
        <v>12696055</v>
      </c>
      <c r="M263" s="53"/>
      <c r="N263" s="53">
        <f t="shared" si="195"/>
        <v>0</v>
      </c>
      <c r="O263" s="53">
        <f t="shared" si="195"/>
        <v>12696055</v>
      </c>
      <c r="P263" s="53">
        <f t="shared" si="195"/>
        <v>-14378.06</v>
      </c>
      <c r="Q263" s="53">
        <f t="shared" si="195"/>
        <v>12681676.939999999</v>
      </c>
    </row>
    <row r="264" spans="1:26" ht="36.75" x14ac:dyDescent="0.25">
      <c r="A264" s="47" t="s">
        <v>132</v>
      </c>
      <c r="B264" s="37" t="s">
        <v>13</v>
      </c>
      <c r="C264" s="34" t="s">
        <v>144</v>
      </c>
      <c r="D264" s="73" t="s">
        <v>131</v>
      </c>
      <c r="E264" s="54">
        <v>400</v>
      </c>
      <c r="F264" s="53">
        <f t="shared" si="195"/>
        <v>13214000</v>
      </c>
      <c r="G264" s="53">
        <f t="shared" si="195"/>
        <v>0</v>
      </c>
      <c r="H264" s="53">
        <f t="shared" si="195"/>
        <v>0</v>
      </c>
      <c r="I264" s="53">
        <f t="shared" si="195"/>
        <v>-546853</v>
      </c>
      <c r="J264" s="53">
        <f t="shared" si="195"/>
        <v>12667147</v>
      </c>
      <c r="K264" s="53">
        <f t="shared" si="195"/>
        <v>28908</v>
      </c>
      <c r="L264" s="53">
        <f t="shared" si="195"/>
        <v>12696055</v>
      </c>
      <c r="M264" s="53"/>
      <c r="N264" s="53">
        <f t="shared" si="195"/>
        <v>0</v>
      </c>
      <c r="O264" s="53">
        <f t="shared" si="195"/>
        <v>12696055</v>
      </c>
      <c r="P264" s="53">
        <f t="shared" si="195"/>
        <v>-14378.06</v>
      </c>
      <c r="Q264" s="53">
        <f t="shared" si="195"/>
        <v>12681676.939999999</v>
      </c>
    </row>
    <row r="265" spans="1:26" ht="23.25" x14ac:dyDescent="0.25">
      <c r="A265" s="47" t="s">
        <v>134</v>
      </c>
      <c r="B265" s="37" t="s">
        <v>13</v>
      </c>
      <c r="C265" s="34" t="s">
        <v>144</v>
      </c>
      <c r="D265" s="73" t="s">
        <v>131</v>
      </c>
      <c r="E265" s="54">
        <v>410</v>
      </c>
      <c r="F265" s="53">
        <f>14214000-1000000</f>
        <v>13214000</v>
      </c>
      <c r="G265" s="53"/>
      <c r="H265" s="53"/>
      <c r="I265" s="39">
        <f t="shared" ref="I265" si="196">+J265-F265</f>
        <v>-546853</v>
      </c>
      <c r="J265" s="53">
        <v>12667147</v>
      </c>
      <c r="K265" s="39">
        <f>3908+25000</f>
        <v>28908</v>
      </c>
      <c r="L265" s="53">
        <f>+J265+K265</f>
        <v>12696055</v>
      </c>
      <c r="M265" s="119" t="s">
        <v>277</v>
      </c>
      <c r="N265" s="39"/>
      <c r="O265" s="53">
        <f>L265+N265</f>
        <v>12696055</v>
      </c>
      <c r="P265" s="39">
        <v>-14378.06</v>
      </c>
      <c r="Q265" s="53">
        <f>O265+P265</f>
        <v>12681676.939999999</v>
      </c>
      <c r="S265" s="9"/>
    </row>
    <row r="266" spans="1:26" x14ac:dyDescent="0.25">
      <c r="A266" s="47" t="s">
        <v>107</v>
      </c>
      <c r="B266" s="37" t="s">
        <v>13</v>
      </c>
      <c r="C266" s="34" t="s">
        <v>144</v>
      </c>
      <c r="D266" s="73" t="s">
        <v>108</v>
      </c>
      <c r="E266" s="54"/>
      <c r="F266" s="53">
        <f t="shared" ref="F266:Q267" si="197">F267</f>
        <v>1200000</v>
      </c>
      <c r="G266" s="53">
        <f t="shared" si="197"/>
        <v>0</v>
      </c>
      <c r="H266" s="53">
        <f t="shared" si="197"/>
        <v>0</v>
      </c>
      <c r="I266" s="53">
        <f t="shared" si="197"/>
        <v>0</v>
      </c>
      <c r="J266" s="53">
        <f t="shared" si="197"/>
        <v>1200000</v>
      </c>
      <c r="K266" s="53">
        <f t="shared" si="197"/>
        <v>0</v>
      </c>
      <c r="L266" s="53">
        <f t="shared" si="197"/>
        <v>1200000</v>
      </c>
      <c r="M266" s="53"/>
      <c r="N266" s="53">
        <f t="shared" si="197"/>
        <v>-91600</v>
      </c>
      <c r="O266" s="53">
        <f t="shared" si="197"/>
        <v>1108400</v>
      </c>
      <c r="P266" s="53">
        <f t="shared" si="197"/>
        <v>-67</v>
      </c>
      <c r="Q266" s="53">
        <f t="shared" si="197"/>
        <v>1108333</v>
      </c>
    </row>
    <row r="267" spans="1:26" ht="24.75" x14ac:dyDescent="0.25">
      <c r="A267" s="41" t="s">
        <v>44</v>
      </c>
      <c r="B267" s="37" t="s">
        <v>13</v>
      </c>
      <c r="C267" s="34" t="s">
        <v>144</v>
      </c>
      <c r="D267" s="73" t="s">
        <v>108</v>
      </c>
      <c r="E267" s="54">
        <v>200</v>
      </c>
      <c r="F267" s="53">
        <f t="shared" si="197"/>
        <v>1200000</v>
      </c>
      <c r="G267" s="53">
        <f t="shared" si="197"/>
        <v>0</v>
      </c>
      <c r="H267" s="53">
        <f t="shared" si="197"/>
        <v>0</v>
      </c>
      <c r="I267" s="53">
        <f t="shared" si="197"/>
        <v>0</v>
      </c>
      <c r="J267" s="53">
        <f t="shared" si="197"/>
        <v>1200000</v>
      </c>
      <c r="K267" s="53">
        <f t="shared" si="197"/>
        <v>0</v>
      </c>
      <c r="L267" s="53">
        <f t="shared" si="197"/>
        <v>1200000</v>
      </c>
      <c r="M267" s="53"/>
      <c r="N267" s="53">
        <f t="shared" si="197"/>
        <v>-91600</v>
      </c>
      <c r="O267" s="53">
        <f t="shared" si="197"/>
        <v>1108400</v>
      </c>
      <c r="P267" s="53">
        <f t="shared" si="197"/>
        <v>-67</v>
      </c>
      <c r="Q267" s="53">
        <f t="shared" si="197"/>
        <v>1108333</v>
      </c>
    </row>
    <row r="268" spans="1:26" ht="36.75" x14ac:dyDescent="0.25">
      <c r="A268" s="41" t="s">
        <v>23</v>
      </c>
      <c r="B268" s="37" t="s">
        <v>13</v>
      </c>
      <c r="C268" s="34" t="s">
        <v>144</v>
      </c>
      <c r="D268" s="73" t="s">
        <v>108</v>
      </c>
      <c r="E268" s="54">
        <v>240</v>
      </c>
      <c r="F268" s="53">
        <f>600000+600000</f>
        <v>1200000</v>
      </c>
      <c r="G268" s="53"/>
      <c r="H268" s="53"/>
      <c r="I268" s="39">
        <f t="shared" ref="I268" si="198">+J268-F268</f>
        <v>0</v>
      </c>
      <c r="J268" s="53">
        <v>1200000</v>
      </c>
      <c r="K268" s="39"/>
      <c r="L268" s="53">
        <v>1200000</v>
      </c>
      <c r="M268" s="53"/>
      <c r="N268" s="39">
        <v>-91600</v>
      </c>
      <c r="O268" s="53">
        <f>L268+N268</f>
        <v>1108400</v>
      </c>
      <c r="P268" s="39">
        <f>-67</f>
        <v>-67</v>
      </c>
      <c r="Q268" s="53">
        <f>O268+P268</f>
        <v>1108333</v>
      </c>
    </row>
    <row r="269" spans="1:26" ht="36.75" x14ac:dyDescent="0.25">
      <c r="A269" s="51" t="s">
        <v>145</v>
      </c>
      <c r="B269" s="37" t="s">
        <v>13</v>
      </c>
      <c r="C269" s="34" t="s">
        <v>144</v>
      </c>
      <c r="D269" s="34" t="s">
        <v>48</v>
      </c>
      <c r="E269" s="54"/>
      <c r="F269" s="53">
        <f>F271</f>
        <v>374000</v>
      </c>
      <c r="G269" s="53">
        <f>G271</f>
        <v>600000</v>
      </c>
      <c r="H269" s="53">
        <f>H271</f>
        <v>600000</v>
      </c>
      <c r="I269" s="53">
        <f t="shared" ref="I269:J269" si="199">I271</f>
        <v>-93805</v>
      </c>
      <c r="J269" s="53">
        <f t="shared" si="199"/>
        <v>280195</v>
      </c>
      <c r="K269" s="53">
        <f t="shared" ref="K269:L269" si="200">K271</f>
        <v>0</v>
      </c>
      <c r="L269" s="53">
        <f t="shared" si="200"/>
        <v>280195</v>
      </c>
      <c r="M269" s="53"/>
      <c r="N269" s="53">
        <f t="shared" ref="N269:O269" si="201">N271</f>
        <v>171805</v>
      </c>
      <c r="O269" s="53">
        <f t="shared" si="201"/>
        <v>452000</v>
      </c>
      <c r="P269" s="53">
        <f t="shared" ref="P269:Q269" si="202">P271</f>
        <v>-174000</v>
      </c>
      <c r="Q269" s="53">
        <f t="shared" si="202"/>
        <v>278000</v>
      </c>
      <c r="R269" s="161"/>
      <c r="T269" s="9">
        <f>Q269</f>
        <v>278000</v>
      </c>
    </row>
    <row r="270" spans="1:26" ht="24.75" x14ac:dyDescent="0.25">
      <c r="A270" s="66" t="s">
        <v>98</v>
      </c>
      <c r="B270" s="37" t="s">
        <v>13</v>
      </c>
      <c r="C270" s="34" t="s">
        <v>144</v>
      </c>
      <c r="D270" s="34" t="s">
        <v>56</v>
      </c>
      <c r="E270" s="54"/>
      <c r="F270" s="53">
        <f>+F271</f>
        <v>374000</v>
      </c>
      <c r="G270" s="53"/>
      <c r="H270" s="53"/>
      <c r="I270" s="53">
        <f t="shared" ref="I270:Q270" si="203">+I271</f>
        <v>-93805</v>
      </c>
      <c r="J270" s="53">
        <f t="shared" si="203"/>
        <v>280195</v>
      </c>
      <c r="K270" s="53">
        <f t="shared" si="203"/>
        <v>0</v>
      </c>
      <c r="L270" s="53">
        <f t="shared" si="203"/>
        <v>280195</v>
      </c>
      <c r="M270" s="53"/>
      <c r="N270" s="53"/>
      <c r="O270" s="53">
        <f t="shared" si="203"/>
        <v>452000</v>
      </c>
      <c r="P270" s="53"/>
      <c r="Q270" s="53">
        <f t="shared" si="203"/>
        <v>278000</v>
      </c>
    </row>
    <row r="271" spans="1:26" ht="24.75" x14ac:dyDescent="0.25">
      <c r="A271" s="41" t="s">
        <v>44</v>
      </c>
      <c r="B271" s="37" t="s">
        <v>13</v>
      </c>
      <c r="C271" s="34" t="s">
        <v>144</v>
      </c>
      <c r="D271" s="34" t="s">
        <v>56</v>
      </c>
      <c r="E271" s="54">
        <v>200</v>
      </c>
      <c r="F271" s="53">
        <f t="shared" ref="F271:Q271" si="204">F272</f>
        <v>374000</v>
      </c>
      <c r="G271" s="53">
        <f t="shared" si="204"/>
        <v>600000</v>
      </c>
      <c r="H271" s="53">
        <f t="shared" si="204"/>
        <v>600000</v>
      </c>
      <c r="I271" s="53">
        <f t="shared" si="204"/>
        <v>-93805</v>
      </c>
      <c r="J271" s="53">
        <f t="shared" si="204"/>
        <v>280195</v>
      </c>
      <c r="K271" s="53">
        <f t="shared" si="204"/>
        <v>0</v>
      </c>
      <c r="L271" s="53">
        <f t="shared" si="204"/>
        <v>280195</v>
      </c>
      <c r="M271" s="53"/>
      <c r="N271" s="53">
        <f t="shared" si="204"/>
        <v>171805</v>
      </c>
      <c r="O271" s="53">
        <f t="shared" si="204"/>
        <v>452000</v>
      </c>
      <c r="P271" s="53">
        <f t="shared" si="204"/>
        <v>-174000</v>
      </c>
      <c r="Q271" s="53">
        <f t="shared" si="204"/>
        <v>278000</v>
      </c>
    </row>
    <row r="272" spans="1:26" ht="36.75" x14ac:dyDescent="0.25">
      <c r="A272" s="41" t="s">
        <v>23</v>
      </c>
      <c r="B272" s="37" t="s">
        <v>13</v>
      </c>
      <c r="C272" s="34" t="s">
        <v>144</v>
      </c>
      <c r="D272" s="34" t="s">
        <v>56</v>
      </c>
      <c r="E272" s="54">
        <v>240</v>
      </c>
      <c r="F272" s="53">
        <v>374000</v>
      </c>
      <c r="G272" s="53">
        <v>600000</v>
      </c>
      <c r="H272" s="53">
        <v>600000</v>
      </c>
      <c r="I272" s="39">
        <f t="shared" ref="I272" si="205">+J272-F272</f>
        <v>-93805</v>
      </c>
      <c r="J272" s="53">
        <v>280195</v>
      </c>
      <c r="K272" s="39"/>
      <c r="L272" s="53">
        <v>280195</v>
      </c>
      <c r="M272" s="118" t="s">
        <v>277</v>
      </c>
      <c r="N272" s="39">
        <v>171805</v>
      </c>
      <c r="O272" s="53">
        <f>L272+N272</f>
        <v>452000</v>
      </c>
      <c r="P272" s="39">
        <v>-174000</v>
      </c>
      <c r="Q272" s="53">
        <f>O272+P272</f>
        <v>278000</v>
      </c>
    </row>
    <row r="273" spans="1:28" ht="36.75" x14ac:dyDescent="0.25">
      <c r="A273" s="51" t="s">
        <v>109</v>
      </c>
      <c r="B273" s="37" t="s">
        <v>13</v>
      </c>
      <c r="C273" s="34" t="s">
        <v>144</v>
      </c>
      <c r="D273" s="34" t="s">
        <v>146</v>
      </c>
      <c r="E273" s="35"/>
      <c r="F273" s="39">
        <f>F274+F277+F282</f>
        <v>11697319</v>
      </c>
      <c r="G273" s="39">
        <f>G274+G277+G282</f>
        <v>13198253</v>
      </c>
      <c r="H273" s="39">
        <f>H274+H277+H282</f>
        <v>13821151</v>
      </c>
      <c r="I273" s="39">
        <f t="shared" ref="I273:J273" si="206">I274+I277+I282</f>
        <v>5472130</v>
      </c>
      <c r="J273" s="39">
        <f t="shared" si="206"/>
        <v>17169449</v>
      </c>
      <c r="K273" s="39">
        <f t="shared" ref="K273:L273" si="207">K274+K277+K282</f>
        <v>23000</v>
      </c>
      <c r="L273" s="39">
        <f t="shared" si="207"/>
        <v>17192449</v>
      </c>
      <c r="M273" s="39"/>
      <c r="N273" s="39">
        <f t="shared" ref="N273:O273" si="208">N274+N277+N282</f>
        <v>0.20999999999185093</v>
      </c>
      <c r="O273" s="39">
        <f t="shared" si="208"/>
        <v>17192449.210000001</v>
      </c>
      <c r="P273" s="39">
        <f t="shared" ref="P273:Q273" si="209">P274+P277+P282</f>
        <v>-853808.13</v>
      </c>
      <c r="Q273" s="39">
        <f t="shared" si="209"/>
        <v>16338641.08</v>
      </c>
      <c r="T273" s="9"/>
      <c r="X273" s="9"/>
      <c r="AA273" s="9">
        <f>Q273</f>
        <v>16338641.08</v>
      </c>
    </row>
    <row r="274" spans="1:28" x14ac:dyDescent="0.25">
      <c r="A274" s="76" t="s">
        <v>147</v>
      </c>
      <c r="B274" s="37" t="s">
        <v>13</v>
      </c>
      <c r="C274" s="34" t="s">
        <v>144</v>
      </c>
      <c r="D274" s="34" t="s">
        <v>148</v>
      </c>
      <c r="E274" s="34"/>
      <c r="F274" s="39">
        <f t="shared" ref="F274:Q275" si="210">F275</f>
        <v>3607153</v>
      </c>
      <c r="G274" s="39">
        <f t="shared" si="210"/>
        <v>3783743</v>
      </c>
      <c r="H274" s="39">
        <f t="shared" si="210"/>
        <v>3964730</v>
      </c>
      <c r="I274" s="39">
        <f t="shared" si="210"/>
        <v>0</v>
      </c>
      <c r="J274" s="39">
        <f t="shared" si="210"/>
        <v>3607153</v>
      </c>
      <c r="K274" s="39">
        <f t="shared" si="210"/>
        <v>-18036.189999999999</v>
      </c>
      <c r="L274" s="39">
        <f t="shared" si="210"/>
        <v>3589116.81</v>
      </c>
      <c r="M274" s="39"/>
      <c r="N274" s="39">
        <f t="shared" si="210"/>
        <v>0</v>
      </c>
      <c r="O274" s="39">
        <f t="shared" si="210"/>
        <v>3589116.81</v>
      </c>
      <c r="P274" s="39">
        <f t="shared" si="210"/>
        <v>-292990.53999999998</v>
      </c>
      <c r="Q274" s="39">
        <f t="shared" si="210"/>
        <v>3296126.27</v>
      </c>
    </row>
    <row r="275" spans="1:28" ht="24.75" x14ac:dyDescent="0.25">
      <c r="A275" s="46" t="s">
        <v>44</v>
      </c>
      <c r="B275" s="37" t="s">
        <v>13</v>
      </c>
      <c r="C275" s="34" t="s">
        <v>144</v>
      </c>
      <c r="D275" s="34" t="s">
        <v>148</v>
      </c>
      <c r="E275" s="34" t="s">
        <v>74</v>
      </c>
      <c r="F275" s="39">
        <f t="shared" si="210"/>
        <v>3607153</v>
      </c>
      <c r="G275" s="39">
        <f t="shared" si="210"/>
        <v>3783743</v>
      </c>
      <c r="H275" s="39">
        <f t="shared" si="210"/>
        <v>3964730</v>
      </c>
      <c r="I275" s="39">
        <f t="shared" si="210"/>
        <v>0</v>
      </c>
      <c r="J275" s="39">
        <f t="shared" si="210"/>
        <v>3607153</v>
      </c>
      <c r="K275" s="39">
        <f t="shared" si="210"/>
        <v>-18036.189999999999</v>
      </c>
      <c r="L275" s="39">
        <f t="shared" si="210"/>
        <v>3589116.81</v>
      </c>
      <c r="M275" s="39"/>
      <c r="N275" s="39">
        <f t="shared" si="210"/>
        <v>0</v>
      </c>
      <c r="O275" s="39">
        <f t="shared" si="210"/>
        <v>3589116.81</v>
      </c>
      <c r="P275" s="39">
        <f t="shared" si="210"/>
        <v>-292990.53999999998</v>
      </c>
      <c r="Q275" s="39">
        <f t="shared" si="210"/>
        <v>3296126.27</v>
      </c>
    </row>
    <row r="276" spans="1:28" ht="36.75" x14ac:dyDescent="0.25">
      <c r="A276" s="47" t="s">
        <v>23</v>
      </c>
      <c r="B276" s="37" t="s">
        <v>13</v>
      </c>
      <c r="C276" s="34" t="s">
        <v>144</v>
      </c>
      <c r="D276" s="34" t="s">
        <v>148</v>
      </c>
      <c r="E276" s="34" t="s">
        <v>24</v>
      </c>
      <c r="F276" s="39">
        <v>3607153</v>
      </c>
      <c r="G276" s="39">
        <v>3783743</v>
      </c>
      <c r="H276" s="39">
        <v>3964730</v>
      </c>
      <c r="I276" s="39">
        <f t="shared" ref="I276" si="211">+J276-F276</f>
        <v>0</v>
      </c>
      <c r="J276" s="39">
        <v>3607153</v>
      </c>
      <c r="K276" s="39">
        <v>-18036.189999999999</v>
      </c>
      <c r="L276" s="39">
        <f>+J276+K276</f>
        <v>3589116.81</v>
      </c>
      <c r="M276" s="39"/>
      <c r="N276" s="39"/>
      <c r="O276" s="39">
        <f>L276+N276</f>
        <v>3589116.81</v>
      </c>
      <c r="P276" s="39">
        <f>-292990.54</f>
        <v>-292990.53999999998</v>
      </c>
      <c r="Q276" s="39">
        <f>O276+P276</f>
        <v>3296126.27</v>
      </c>
    </row>
    <row r="277" spans="1:28" x14ac:dyDescent="0.25">
      <c r="A277" s="36" t="s">
        <v>149</v>
      </c>
      <c r="B277" s="37" t="s">
        <v>13</v>
      </c>
      <c r="C277" s="34" t="s">
        <v>144</v>
      </c>
      <c r="D277" s="34" t="s">
        <v>150</v>
      </c>
      <c r="E277" s="34"/>
      <c r="F277" s="39">
        <f>+F278+F280</f>
        <v>6220166</v>
      </c>
      <c r="G277" s="39">
        <f>+G278+G280</f>
        <v>7453000</v>
      </c>
      <c r="H277" s="39">
        <f>+H278+H280</f>
        <v>7800000</v>
      </c>
      <c r="I277" s="39">
        <f t="shared" ref="I277:J277" si="212">+I278+I280</f>
        <v>0</v>
      </c>
      <c r="J277" s="39">
        <f t="shared" si="212"/>
        <v>6220166</v>
      </c>
      <c r="K277" s="39">
        <f t="shared" ref="K277:L277" si="213">+K278+K280</f>
        <v>-139000</v>
      </c>
      <c r="L277" s="39">
        <f t="shared" si="213"/>
        <v>6081166</v>
      </c>
      <c r="M277" s="39"/>
      <c r="N277" s="39">
        <f t="shared" ref="N277:O277" si="214">+N278+N280</f>
        <v>-221000</v>
      </c>
      <c r="O277" s="39">
        <f t="shared" si="214"/>
        <v>5860166</v>
      </c>
      <c r="P277" s="39">
        <f t="shared" ref="P277:Q277" si="215">+P278+P280</f>
        <v>-626632.02</v>
      </c>
      <c r="Q277" s="39">
        <f t="shared" si="215"/>
        <v>5233533.9800000004</v>
      </c>
    </row>
    <row r="278" spans="1:28" ht="24.75" x14ac:dyDescent="0.25">
      <c r="A278" s="46" t="s">
        <v>44</v>
      </c>
      <c r="B278" s="37" t="s">
        <v>13</v>
      </c>
      <c r="C278" s="34" t="s">
        <v>144</v>
      </c>
      <c r="D278" s="34" t="s">
        <v>150</v>
      </c>
      <c r="E278" s="34" t="s">
        <v>74</v>
      </c>
      <c r="F278" s="39">
        <f>F279</f>
        <v>4466000</v>
      </c>
      <c r="G278" s="39">
        <f>G279</f>
        <v>5418000</v>
      </c>
      <c r="H278" s="39">
        <f>H279</f>
        <v>5663000</v>
      </c>
      <c r="I278" s="39">
        <f t="shared" ref="I278:Q278" si="216">I279</f>
        <v>0</v>
      </c>
      <c r="J278" s="39">
        <f t="shared" si="216"/>
        <v>4466000</v>
      </c>
      <c r="K278" s="39">
        <f t="shared" si="216"/>
        <v>0</v>
      </c>
      <c r="L278" s="39">
        <f t="shared" si="216"/>
        <v>4466000</v>
      </c>
      <c r="M278" s="39"/>
      <c r="N278" s="39">
        <f t="shared" si="216"/>
        <v>0</v>
      </c>
      <c r="O278" s="39">
        <f t="shared" si="216"/>
        <v>4466000</v>
      </c>
      <c r="P278" s="39">
        <f t="shared" si="216"/>
        <v>-10563.67</v>
      </c>
      <c r="Q278" s="39">
        <f t="shared" si="216"/>
        <v>4455436.33</v>
      </c>
    </row>
    <row r="279" spans="1:28" ht="36.75" x14ac:dyDescent="0.25">
      <c r="A279" s="47" t="s">
        <v>23</v>
      </c>
      <c r="B279" s="37" t="s">
        <v>13</v>
      </c>
      <c r="C279" s="34" t="s">
        <v>144</v>
      </c>
      <c r="D279" s="34" t="s">
        <v>150</v>
      </c>
      <c r="E279" s="34" t="s">
        <v>24</v>
      </c>
      <c r="F279" s="39">
        <v>4466000</v>
      </c>
      <c r="G279" s="39">
        <v>5418000</v>
      </c>
      <c r="H279" s="39">
        <v>5663000</v>
      </c>
      <c r="I279" s="39">
        <f t="shared" ref="I279" si="217">+J279-F279</f>
        <v>0</v>
      </c>
      <c r="J279" s="39">
        <v>4466000</v>
      </c>
      <c r="K279" s="39"/>
      <c r="L279" s="39">
        <v>4466000</v>
      </c>
      <c r="M279" s="39"/>
      <c r="N279" s="39"/>
      <c r="O279" s="39">
        <v>4466000</v>
      </c>
      <c r="P279" s="39">
        <v>-10563.67</v>
      </c>
      <c r="Q279" s="39">
        <f>O279+P279</f>
        <v>4455436.33</v>
      </c>
    </row>
    <row r="280" spans="1:28" x14ac:dyDescent="0.25">
      <c r="A280" s="47" t="s">
        <v>25</v>
      </c>
      <c r="B280" s="37" t="s">
        <v>13</v>
      </c>
      <c r="C280" s="34" t="s">
        <v>144</v>
      </c>
      <c r="D280" s="34" t="s">
        <v>150</v>
      </c>
      <c r="E280" s="34" t="s">
        <v>26</v>
      </c>
      <c r="F280" s="39">
        <f>F281</f>
        <v>1754166</v>
      </c>
      <c r="G280" s="39">
        <f>G281</f>
        <v>2035000</v>
      </c>
      <c r="H280" s="39">
        <f>H281</f>
        <v>2137000</v>
      </c>
      <c r="I280" s="39">
        <f t="shared" ref="I280:Q280" si="218">I281</f>
        <v>0</v>
      </c>
      <c r="J280" s="39">
        <f t="shared" si="218"/>
        <v>1754166</v>
      </c>
      <c r="K280" s="39">
        <f t="shared" si="218"/>
        <v>-139000</v>
      </c>
      <c r="L280" s="39">
        <f t="shared" si="218"/>
        <v>1615166</v>
      </c>
      <c r="M280" s="39"/>
      <c r="N280" s="39">
        <f t="shared" si="218"/>
        <v>-221000</v>
      </c>
      <c r="O280" s="39">
        <f t="shared" si="218"/>
        <v>1394166</v>
      </c>
      <c r="P280" s="39">
        <f t="shared" si="218"/>
        <v>-616068.35</v>
      </c>
      <c r="Q280" s="39">
        <f t="shared" si="218"/>
        <v>778097.65</v>
      </c>
    </row>
    <row r="281" spans="1:28" ht="36.75" x14ac:dyDescent="0.25">
      <c r="A281" s="47" t="s">
        <v>57</v>
      </c>
      <c r="B281" s="37" t="s">
        <v>13</v>
      </c>
      <c r="C281" s="34" t="s">
        <v>144</v>
      </c>
      <c r="D281" s="34" t="s">
        <v>150</v>
      </c>
      <c r="E281" s="34" t="s">
        <v>77</v>
      </c>
      <c r="F281" s="39">
        <f>1850000-95834</f>
        <v>1754166</v>
      </c>
      <c r="G281" s="39">
        <v>2035000</v>
      </c>
      <c r="H281" s="39">
        <v>2137000</v>
      </c>
      <c r="I281" s="39">
        <f t="shared" ref="I281" si="219">+J281-F281</f>
        <v>0</v>
      </c>
      <c r="J281" s="39">
        <v>1754166</v>
      </c>
      <c r="K281" s="39">
        <v>-139000</v>
      </c>
      <c r="L281" s="39">
        <f>+J281+K281</f>
        <v>1615166</v>
      </c>
      <c r="M281" s="39"/>
      <c r="N281" s="39">
        <v>-221000</v>
      </c>
      <c r="O281" s="39">
        <f>L281+N281</f>
        <v>1394166</v>
      </c>
      <c r="P281" s="39">
        <f>-65908.22-550160.13</f>
        <v>-616068.35</v>
      </c>
      <c r="Q281" s="170">
        <f>O281+P281</f>
        <v>778097.65</v>
      </c>
      <c r="R281" s="159"/>
    </row>
    <row r="282" spans="1:28" x14ac:dyDescent="0.25">
      <c r="A282" s="76" t="s">
        <v>151</v>
      </c>
      <c r="B282" s="37" t="s">
        <v>13</v>
      </c>
      <c r="C282" s="34" t="s">
        <v>144</v>
      </c>
      <c r="D282" s="34" t="s">
        <v>152</v>
      </c>
      <c r="E282" s="34"/>
      <c r="F282" s="39">
        <f>F283+F285</f>
        <v>1870000</v>
      </c>
      <c r="G282" s="39">
        <f>G283+G285</f>
        <v>1961510</v>
      </c>
      <c r="H282" s="39">
        <f>H283+H285</f>
        <v>2056421</v>
      </c>
      <c r="I282" s="39">
        <f t="shared" ref="I282:J282" si="220">I283+I285</f>
        <v>5472130</v>
      </c>
      <c r="J282" s="39">
        <f t="shared" si="220"/>
        <v>7342130</v>
      </c>
      <c r="K282" s="39">
        <f t="shared" ref="K282" si="221">K283+K285</f>
        <v>180036.19</v>
      </c>
      <c r="L282" s="39">
        <f>L283+L285</f>
        <v>7522166.1900000004</v>
      </c>
      <c r="M282" s="39"/>
      <c r="N282" s="39">
        <f t="shared" ref="N282" si="222">N283+N285</f>
        <v>221000.21</v>
      </c>
      <c r="O282" s="39">
        <f>O283+O285</f>
        <v>7743166.4000000004</v>
      </c>
      <c r="P282" s="39">
        <f>P283</f>
        <v>65814.430000000008</v>
      </c>
      <c r="Q282" s="39">
        <f>Q283+Q285</f>
        <v>7808980.8300000001</v>
      </c>
    </row>
    <row r="283" spans="1:28" ht="24.75" x14ac:dyDescent="0.25">
      <c r="A283" s="46" t="s">
        <v>44</v>
      </c>
      <c r="B283" s="37" t="s">
        <v>13</v>
      </c>
      <c r="C283" s="34" t="s">
        <v>144</v>
      </c>
      <c r="D283" s="34" t="s">
        <v>152</v>
      </c>
      <c r="E283" s="34" t="s">
        <v>74</v>
      </c>
      <c r="F283" s="39">
        <f>F284</f>
        <v>1470000</v>
      </c>
      <c r="G283" s="39">
        <f>G284</f>
        <v>1541910</v>
      </c>
      <c r="H283" s="39">
        <f>H284</f>
        <v>1616841</v>
      </c>
      <c r="I283" s="39">
        <f t="shared" ref="I283:Q283" si="223">I284</f>
        <v>5614768</v>
      </c>
      <c r="J283" s="39">
        <f t="shared" si="223"/>
        <v>7084768</v>
      </c>
      <c r="K283" s="39">
        <f t="shared" si="223"/>
        <v>220430</v>
      </c>
      <c r="L283" s="39">
        <f t="shared" si="223"/>
        <v>7305198</v>
      </c>
      <c r="M283" s="39"/>
      <c r="N283" s="39">
        <f t="shared" si="223"/>
        <v>437968.23</v>
      </c>
      <c r="O283" s="39">
        <f t="shared" si="223"/>
        <v>7743166.2300000004</v>
      </c>
      <c r="P283" s="39">
        <f t="shared" si="223"/>
        <v>65814.430000000008</v>
      </c>
      <c r="Q283" s="39">
        <f t="shared" si="223"/>
        <v>7808980.6600000001</v>
      </c>
      <c r="R283" s="165"/>
    </row>
    <row r="284" spans="1:28" ht="36.75" x14ac:dyDescent="0.25">
      <c r="A284" s="47" t="s">
        <v>23</v>
      </c>
      <c r="B284" s="37" t="s">
        <v>13</v>
      </c>
      <c r="C284" s="34" t="s">
        <v>144</v>
      </c>
      <c r="D284" s="34" t="s">
        <v>152</v>
      </c>
      <c r="E284" s="34" t="s">
        <v>24</v>
      </c>
      <c r="F284" s="39">
        <v>1470000</v>
      </c>
      <c r="G284" s="39">
        <f>1542030-120</f>
        <v>1541910</v>
      </c>
      <c r="H284" s="39">
        <v>1616841</v>
      </c>
      <c r="I284" s="39">
        <f t="shared" ref="I284" si="224">+J284-F284</f>
        <v>5614768</v>
      </c>
      <c r="J284" s="39">
        <v>7084768</v>
      </c>
      <c r="K284" s="39">
        <v>220430</v>
      </c>
      <c r="L284" s="39">
        <f>J284+K284</f>
        <v>7305198</v>
      </c>
      <c r="M284" s="120" t="s">
        <v>273</v>
      </c>
      <c r="N284" s="39">
        <f>96700+43000.02+298268.21</f>
        <v>437968.23</v>
      </c>
      <c r="O284" s="39">
        <f>L284+N284</f>
        <v>7743166.2300000004</v>
      </c>
      <c r="P284" s="39">
        <f>65908.22-93.79</f>
        <v>65814.430000000008</v>
      </c>
      <c r="Q284" s="39">
        <f>O284+P284</f>
        <v>7808980.6600000001</v>
      </c>
      <c r="R284" s="167"/>
    </row>
    <row r="285" spans="1:28" x14ac:dyDescent="0.25">
      <c r="A285" s="47" t="s">
        <v>25</v>
      </c>
      <c r="B285" s="37" t="s">
        <v>13</v>
      </c>
      <c r="C285" s="34" t="s">
        <v>144</v>
      </c>
      <c r="D285" s="34" t="s">
        <v>152</v>
      </c>
      <c r="E285" s="34" t="s">
        <v>26</v>
      </c>
      <c r="F285" s="39">
        <f>F286</f>
        <v>400000</v>
      </c>
      <c r="G285" s="39">
        <f>G286</f>
        <v>419600</v>
      </c>
      <c r="H285" s="39">
        <f>H286</f>
        <v>439580</v>
      </c>
      <c r="I285" s="39">
        <f t="shared" ref="I285:O285" si="225">I286</f>
        <v>-142638</v>
      </c>
      <c r="J285" s="39">
        <f t="shared" si="225"/>
        <v>257362</v>
      </c>
      <c r="K285" s="39">
        <f t="shared" si="225"/>
        <v>-40393.81</v>
      </c>
      <c r="L285" s="39">
        <f t="shared" si="225"/>
        <v>216968.19</v>
      </c>
      <c r="M285" s="39"/>
      <c r="N285" s="39">
        <f t="shared" si="225"/>
        <v>-216968.02</v>
      </c>
      <c r="O285" s="39">
        <f t="shared" si="225"/>
        <v>0.17000000001280569</v>
      </c>
      <c r="P285" s="39"/>
      <c r="Q285" s="39">
        <f>O285+P285</f>
        <v>0.17000000001280569</v>
      </c>
      <c r="R285" s="165"/>
    </row>
    <row r="286" spans="1:28" ht="36.75" x14ac:dyDescent="0.25">
      <c r="A286" s="47" t="s">
        <v>57</v>
      </c>
      <c r="B286" s="37" t="s">
        <v>13</v>
      </c>
      <c r="C286" s="34" t="s">
        <v>144</v>
      </c>
      <c r="D286" s="34" t="s">
        <v>152</v>
      </c>
      <c r="E286" s="34" t="s">
        <v>77</v>
      </c>
      <c r="F286" s="39">
        <v>400000</v>
      </c>
      <c r="G286" s="39">
        <v>419600</v>
      </c>
      <c r="H286" s="39">
        <v>439580</v>
      </c>
      <c r="I286" s="39">
        <f>+J286-F286</f>
        <v>-142638</v>
      </c>
      <c r="J286" s="39">
        <v>257362</v>
      </c>
      <c r="K286" s="39">
        <v>-40393.81</v>
      </c>
      <c r="L286" s="39">
        <f>J286+K286</f>
        <v>216968.19</v>
      </c>
      <c r="M286" s="39"/>
      <c r="N286" s="39">
        <f>-96700-43000.02-77268</f>
        <v>-216968.02</v>
      </c>
      <c r="O286" s="39">
        <f>L286+N286</f>
        <v>0.17000000001280569</v>
      </c>
      <c r="P286" s="39"/>
      <c r="Q286" s="39">
        <f>O286+P286</f>
        <v>0.17000000001280569</v>
      </c>
    </row>
    <row r="287" spans="1:28" ht="48.75" x14ac:dyDescent="0.25">
      <c r="A287" s="127" t="s">
        <v>127</v>
      </c>
      <c r="B287" s="37" t="s">
        <v>13</v>
      </c>
      <c r="C287" s="34" t="s">
        <v>144</v>
      </c>
      <c r="D287" s="35">
        <v>3800000</v>
      </c>
      <c r="E287" s="34"/>
      <c r="F287" s="39">
        <f t="shared" ref="F287:Q289" si="226">F288</f>
        <v>100000</v>
      </c>
      <c r="G287" s="39">
        <f t="shared" si="226"/>
        <v>105000</v>
      </c>
      <c r="H287" s="39">
        <f t="shared" si="226"/>
        <v>110000</v>
      </c>
      <c r="I287" s="39">
        <f t="shared" si="226"/>
        <v>0</v>
      </c>
      <c r="J287" s="39">
        <f t="shared" si="226"/>
        <v>100000</v>
      </c>
      <c r="K287" s="39">
        <f t="shared" si="226"/>
        <v>0</v>
      </c>
      <c r="L287" s="39">
        <f t="shared" si="226"/>
        <v>100000</v>
      </c>
      <c r="M287" s="39"/>
      <c r="N287" s="39">
        <f t="shared" si="226"/>
        <v>0</v>
      </c>
      <c r="O287" s="39">
        <f t="shared" si="226"/>
        <v>100000</v>
      </c>
      <c r="P287" s="39">
        <f t="shared" si="226"/>
        <v>-100000</v>
      </c>
      <c r="Q287" s="39">
        <f t="shared" si="226"/>
        <v>0</v>
      </c>
      <c r="U287" s="9"/>
      <c r="X287" s="9">
        <f>Q287</f>
        <v>0</v>
      </c>
      <c r="AB287" s="9"/>
    </row>
    <row r="288" spans="1:28" ht="24" x14ac:dyDescent="0.25">
      <c r="A288" s="61" t="s">
        <v>75</v>
      </c>
      <c r="B288" s="37" t="s">
        <v>13</v>
      </c>
      <c r="C288" s="34" t="s">
        <v>144</v>
      </c>
      <c r="D288" s="34" t="s">
        <v>76</v>
      </c>
      <c r="E288" s="34"/>
      <c r="F288" s="39">
        <f t="shared" si="226"/>
        <v>100000</v>
      </c>
      <c r="G288" s="39">
        <f t="shared" si="226"/>
        <v>105000</v>
      </c>
      <c r="H288" s="39">
        <f t="shared" si="226"/>
        <v>110000</v>
      </c>
      <c r="I288" s="39">
        <f t="shared" si="226"/>
        <v>0</v>
      </c>
      <c r="J288" s="39">
        <f t="shared" si="226"/>
        <v>100000</v>
      </c>
      <c r="K288" s="39">
        <f t="shared" si="226"/>
        <v>0</v>
      </c>
      <c r="L288" s="39">
        <f t="shared" si="226"/>
        <v>100000</v>
      </c>
      <c r="M288" s="39"/>
      <c r="N288" s="39">
        <f t="shared" si="226"/>
        <v>0</v>
      </c>
      <c r="O288" s="39">
        <f t="shared" si="226"/>
        <v>100000</v>
      </c>
      <c r="P288" s="39">
        <f t="shared" si="226"/>
        <v>-100000</v>
      </c>
      <c r="Q288" s="39">
        <f t="shared" si="226"/>
        <v>0</v>
      </c>
    </row>
    <row r="289" spans="1:30" x14ac:dyDescent="0.25">
      <c r="A289" s="47" t="s">
        <v>25</v>
      </c>
      <c r="B289" s="37" t="s">
        <v>13</v>
      </c>
      <c r="C289" s="34" t="s">
        <v>144</v>
      </c>
      <c r="D289" s="34" t="s">
        <v>76</v>
      </c>
      <c r="E289" s="34" t="s">
        <v>26</v>
      </c>
      <c r="F289" s="39">
        <f>F290</f>
        <v>100000</v>
      </c>
      <c r="G289" s="39">
        <f>G290</f>
        <v>105000</v>
      </c>
      <c r="H289" s="39">
        <f>+H290</f>
        <v>110000</v>
      </c>
      <c r="I289" s="39">
        <f t="shared" si="226"/>
        <v>0</v>
      </c>
      <c r="J289" s="39">
        <f t="shared" si="226"/>
        <v>100000</v>
      </c>
      <c r="K289" s="39">
        <f t="shared" si="226"/>
        <v>0</v>
      </c>
      <c r="L289" s="39">
        <f t="shared" si="226"/>
        <v>100000</v>
      </c>
      <c r="M289" s="39"/>
      <c r="N289" s="39">
        <f t="shared" si="226"/>
        <v>0</v>
      </c>
      <c r="O289" s="39">
        <f t="shared" si="226"/>
        <v>100000</v>
      </c>
      <c r="P289" s="39">
        <f t="shared" si="226"/>
        <v>-100000</v>
      </c>
      <c r="Q289" s="39">
        <f t="shared" si="226"/>
        <v>0</v>
      </c>
    </row>
    <row r="290" spans="1:30" ht="36.75" x14ac:dyDescent="0.25">
      <c r="A290" s="47" t="s">
        <v>57</v>
      </c>
      <c r="B290" s="37" t="s">
        <v>13</v>
      </c>
      <c r="C290" s="34" t="s">
        <v>144</v>
      </c>
      <c r="D290" s="34" t="s">
        <v>76</v>
      </c>
      <c r="E290" s="34" t="s">
        <v>77</v>
      </c>
      <c r="F290" s="39">
        <v>100000</v>
      </c>
      <c r="G290" s="39">
        <v>105000</v>
      </c>
      <c r="H290" s="39">
        <v>110000</v>
      </c>
      <c r="I290" s="39">
        <f t="shared" ref="I290:I292" si="227">+J290-F290</f>
        <v>0</v>
      </c>
      <c r="J290" s="39">
        <v>100000</v>
      </c>
      <c r="K290" s="39"/>
      <c r="L290" s="39">
        <v>100000</v>
      </c>
      <c r="M290" s="39"/>
      <c r="N290" s="39"/>
      <c r="O290" s="39">
        <v>100000</v>
      </c>
      <c r="P290" s="39">
        <v>-100000</v>
      </c>
      <c r="Q290" s="39">
        <f>O290+P290</f>
        <v>0</v>
      </c>
      <c r="R290" s="144"/>
    </row>
    <row r="291" spans="1:30" ht="24.75" x14ac:dyDescent="0.25">
      <c r="A291" s="62" t="s">
        <v>265</v>
      </c>
      <c r="B291" s="82" t="s">
        <v>13</v>
      </c>
      <c r="C291" s="34" t="s">
        <v>144</v>
      </c>
      <c r="D291" s="74" t="s">
        <v>266</v>
      </c>
      <c r="E291" s="34"/>
      <c r="F291" s="39"/>
      <c r="G291" s="39"/>
      <c r="H291" s="39"/>
      <c r="I291" s="39">
        <f t="shared" si="227"/>
        <v>200000</v>
      </c>
      <c r="J291" s="39">
        <f>+J293</f>
        <v>200000</v>
      </c>
      <c r="K291" s="39">
        <f>K292</f>
        <v>0</v>
      </c>
      <c r="L291" s="39">
        <f>+L293</f>
        <v>200000</v>
      </c>
      <c r="M291" s="39"/>
      <c r="N291" s="39">
        <f>N292</f>
        <v>-200000</v>
      </c>
      <c r="O291" s="39">
        <f>+O293</f>
        <v>0</v>
      </c>
      <c r="P291" s="39">
        <f>P292</f>
        <v>700000</v>
      </c>
      <c r="Q291" s="39">
        <f>+Q293</f>
        <v>700000</v>
      </c>
      <c r="R291" s="160"/>
    </row>
    <row r="292" spans="1:30" ht="24.75" x14ac:dyDescent="0.25">
      <c r="A292" s="46" t="s">
        <v>44</v>
      </c>
      <c r="B292" s="37" t="s">
        <v>13</v>
      </c>
      <c r="C292" s="34" t="s">
        <v>144</v>
      </c>
      <c r="D292" s="34" t="s">
        <v>266</v>
      </c>
      <c r="E292" s="35">
        <v>200</v>
      </c>
      <c r="F292" s="39"/>
      <c r="G292" s="39"/>
      <c r="H292" s="39"/>
      <c r="I292" s="39">
        <f t="shared" si="227"/>
        <v>200000</v>
      </c>
      <c r="J292" s="39">
        <f>+J293</f>
        <v>200000</v>
      </c>
      <c r="K292" s="39">
        <f>K293</f>
        <v>0</v>
      </c>
      <c r="L292" s="39">
        <f>+L293</f>
        <v>200000</v>
      </c>
      <c r="M292" s="39"/>
      <c r="N292" s="39">
        <f>N293</f>
        <v>-200000</v>
      </c>
      <c r="O292" s="39">
        <f>+O293</f>
        <v>0</v>
      </c>
      <c r="P292" s="39">
        <f>P293</f>
        <v>700000</v>
      </c>
      <c r="Q292" s="39">
        <f>+Q293</f>
        <v>700000</v>
      </c>
    </row>
    <row r="293" spans="1:30" ht="36.75" x14ac:dyDescent="0.25">
      <c r="A293" s="47" t="s">
        <v>23</v>
      </c>
      <c r="B293" s="37" t="s">
        <v>13</v>
      </c>
      <c r="C293" s="34" t="s">
        <v>144</v>
      </c>
      <c r="D293" s="34" t="s">
        <v>266</v>
      </c>
      <c r="E293" s="35">
        <v>240</v>
      </c>
      <c r="F293" s="39"/>
      <c r="G293" s="39"/>
      <c r="H293" s="39"/>
      <c r="I293" s="39">
        <v>200000</v>
      </c>
      <c r="J293" s="39">
        <f>+I293</f>
        <v>200000</v>
      </c>
      <c r="K293" s="39"/>
      <c r="L293" s="39">
        <f>J293+K293</f>
        <v>200000</v>
      </c>
      <c r="M293" s="117" t="s">
        <v>274</v>
      </c>
      <c r="N293" s="39">
        <v>-200000</v>
      </c>
      <c r="O293" s="39">
        <f>L293+N293</f>
        <v>0</v>
      </c>
      <c r="P293" s="39">
        <v>700000</v>
      </c>
      <c r="Q293" s="39">
        <f>O293+P293</f>
        <v>700000</v>
      </c>
    </row>
    <row r="294" spans="1:30" x14ac:dyDescent="0.25">
      <c r="A294" s="77" t="s">
        <v>153</v>
      </c>
      <c r="B294" s="33" t="s">
        <v>13</v>
      </c>
      <c r="C294" s="29" t="s">
        <v>154</v>
      </c>
      <c r="D294" s="38"/>
      <c r="E294" s="29"/>
      <c r="F294" s="26">
        <f t="shared" ref="F294:Q294" si="228">+F295</f>
        <v>518320</v>
      </c>
      <c r="G294" s="26">
        <f t="shared" si="228"/>
        <v>714000</v>
      </c>
      <c r="H294" s="26">
        <f t="shared" si="228"/>
        <v>714000</v>
      </c>
      <c r="I294" s="26">
        <f t="shared" si="228"/>
        <v>-50000</v>
      </c>
      <c r="J294" s="26">
        <f t="shared" si="228"/>
        <v>468320</v>
      </c>
      <c r="K294" s="26">
        <f t="shared" si="228"/>
        <v>0</v>
      </c>
      <c r="L294" s="26">
        <f t="shared" si="228"/>
        <v>468320</v>
      </c>
      <c r="M294" s="26"/>
      <c r="N294" s="26">
        <f t="shared" si="228"/>
        <v>0</v>
      </c>
      <c r="O294" s="26">
        <f t="shared" si="228"/>
        <v>468320</v>
      </c>
      <c r="P294" s="26">
        <f t="shared" si="228"/>
        <v>-12889.96</v>
      </c>
      <c r="Q294" s="26">
        <f t="shared" si="228"/>
        <v>455430.04000000004</v>
      </c>
      <c r="R294" s="172">
        <f>Q294-O294</f>
        <v>-12889.959999999963</v>
      </c>
      <c r="AD294" s="9"/>
    </row>
    <row r="295" spans="1:30" x14ac:dyDescent="0.25">
      <c r="A295" s="32" t="s">
        <v>155</v>
      </c>
      <c r="B295" s="33" t="s">
        <v>13</v>
      </c>
      <c r="C295" s="29" t="s">
        <v>156</v>
      </c>
      <c r="D295" s="67"/>
      <c r="E295" s="35"/>
      <c r="F295" s="39">
        <f>+F300</f>
        <v>518320</v>
      </c>
      <c r="G295" s="39">
        <f>+G300</f>
        <v>714000</v>
      </c>
      <c r="H295" s="39">
        <f>+H300</f>
        <v>714000</v>
      </c>
      <c r="I295" s="39">
        <f>+I300+I296</f>
        <v>-50000</v>
      </c>
      <c r="J295" s="39">
        <f>+J300+J296</f>
        <v>468320</v>
      </c>
      <c r="K295" s="39">
        <f>+K300+K296</f>
        <v>0</v>
      </c>
      <c r="L295" s="39">
        <f>+L300+L296</f>
        <v>468320</v>
      </c>
      <c r="M295" s="39"/>
      <c r="N295" s="39">
        <f>+N300+N296</f>
        <v>0</v>
      </c>
      <c r="O295" s="39">
        <f>+O300+O296</f>
        <v>468320</v>
      </c>
      <c r="P295" s="39">
        <f>+P300+P296</f>
        <v>-12889.96</v>
      </c>
      <c r="Q295" s="39">
        <f>+Q300+Q296</f>
        <v>455430.04000000004</v>
      </c>
      <c r="R295" s="144"/>
    </row>
    <row r="296" spans="1:30" ht="36.75" x14ac:dyDescent="0.25">
      <c r="A296" s="51" t="s">
        <v>47</v>
      </c>
      <c r="B296" s="33" t="s">
        <v>13</v>
      </c>
      <c r="C296" s="34" t="s">
        <v>156</v>
      </c>
      <c r="D296" s="34" t="s">
        <v>50</v>
      </c>
      <c r="E296" s="35"/>
      <c r="F296" s="26"/>
      <c r="G296" s="26"/>
      <c r="H296" s="26"/>
      <c r="I296" s="26">
        <f>+I297</f>
        <v>50000</v>
      </c>
      <c r="J296" s="26">
        <f>+J297</f>
        <v>50000</v>
      </c>
      <c r="K296" s="26">
        <f>+K297</f>
        <v>0</v>
      </c>
      <c r="L296" s="26">
        <f>+L297</f>
        <v>50000</v>
      </c>
      <c r="M296" s="26"/>
      <c r="N296" s="26">
        <f>+N297</f>
        <v>0</v>
      </c>
      <c r="O296" s="26">
        <f>+O297</f>
        <v>50000</v>
      </c>
      <c r="P296" s="26">
        <f>+P297</f>
        <v>0</v>
      </c>
      <c r="Q296" s="26">
        <f>+Q297</f>
        <v>50000</v>
      </c>
      <c r="T296" s="9">
        <f>Q296</f>
        <v>50000</v>
      </c>
    </row>
    <row r="297" spans="1:30" x14ac:dyDescent="0.25">
      <c r="A297" s="50" t="s">
        <v>49</v>
      </c>
      <c r="B297" s="33" t="s">
        <v>13</v>
      </c>
      <c r="C297" s="34" t="s">
        <v>156</v>
      </c>
      <c r="D297" s="34" t="s">
        <v>50</v>
      </c>
      <c r="E297" s="35"/>
      <c r="F297" s="26"/>
      <c r="G297" s="26"/>
      <c r="H297" s="26"/>
      <c r="I297" s="39">
        <f t="shared" ref="I297:I298" si="229">+J297-F297</f>
        <v>50000</v>
      </c>
      <c r="J297" s="53">
        <f>+J298</f>
        <v>50000</v>
      </c>
      <c r="K297" s="39">
        <f>K298</f>
        <v>0</v>
      </c>
      <c r="L297" s="53">
        <f>+L298</f>
        <v>50000</v>
      </c>
      <c r="M297" s="26"/>
      <c r="N297" s="39">
        <f>N298</f>
        <v>0</v>
      </c>
      <c r="O297" s="53">
        <f>+O298</f>
        <v>50000</v>
      </c>
      <c r="P297" s="39">
        <f>P298</f>
        <v>0</v>
      </c>
      <c r="Q297" s="53">
        <f>+Q298</f>
        <v>50000</v>
      </c>
    </row>
    <row r="298" spans="1:30" ht="24.75" x14ac:dyDescent="0.25">
      <c r="A298" s="46" t="s">
        <v>44</v>
      </c>
      <c r="B298" s="86" t="s">
        <v>13</v>
      </c>
      <c r="C298" s="34" t="s">
        <v>156</v>
      </c>
      <c r="D298" s="34" t="s">
        <v>50</v>
      </c>
      <c r="E298" s="35">
        <v>200</v>
      </c>
      <c r="F298" s="26"/>
      <c r="G298" s="26"/>
      <c r="H298" s="26"/>
      <c r="I298" s="39">
        <f t="shared" si="229"/>
        <v>50000</v>
      </c>
      <c r="J298" s="53">
        <f>+J299</f>
        <v>50000</v>
      </c>
      <c r="K298" s="39">
        <f>K299</f>
        <v>0</v>
      </c>
      <c r="L298" s="53">
        <f>+L299</f>
        <v>50000</v>
      </c>
      <c r="M298" s="26"/>
      <c r="N298" s="39">
        <f>N299</f>
        <v>0</v>
      </c>
      <c r="O298" s="53">
        <f>+O299</f>
        <v>50000</v>
      </c>
      <c r="P298" s="39">
        <f>P299</f>
        <v>0</v>
      </c>
      <c r="Q298" s="53">
        <f>+Q299</f>
        <v>50000</v>
      </c>
    </row>
    <row r="299" spans="1:30" ht="36.75" x14ac:dyDescent="0.25">
      <c r="A299" s="47" t="s">
        <v>23</v>
      </c>
      <c r="B299" s="86" t="s">
        <v>13</v>
      </c>
      <c r="C299" s="34" t="s">
        <v>156</v>
      </c>
      <c r="D299" s="34" t="s">
        <v>50</v>
      </c>
      <c r="E299" s="35">
        <v>240</v>
      </c>
      <c r="F299" s="26"/>
      <c r="G299" s="26"/>
      <c r="H299" s="26"/>
      <c r="I299" s="39">
        <v>50000</v>
      </c>
      <c r="J299" s="53">
        <v>50000</v>
      </c>
      <c r="K299" s="39"/>
      <c r="L299" s="39">
        <f>J299+K299</f>
        <v>50000</v>
      </c>
      <c r="M299" s="116" t="s">
        <v>273</v>
      </c>
      <c r="N299" s="39"/>
      <c r="O299" s="39">
        <f>L299+N299</f>
        <v>50000</v>
      </c>
      <c r="P299" s="39"/>
      <c r="Q299" s="39">
        <f>O299+P299</f>
        <v>50000</v>
      </c>
    </row>
    <row r="300" spans="1:30" ht="36" x14ac:dyDescent="0.25">
      <c r="A300" s="133" t="s">
        <v>157</v>
      </c>
      <c r="B300" s="37" t="s">
        <v>13</v>
      </c>
      <c r="C300" s="34" t="s">
        <v>156</v>
      </c>
      <c r="D300" s="35">
        <v>4600000</v>
      </c>
      <c r="E300" s="35"/>
      <c r="F300" s="39">
        <f>F301</f>
        <v>518320</v>
      </c>
      <c r="G300" s="39">
        <f t="shared" ref="G300:Q302" si="230">G301</f>
        <v>714000</v>
      </c>
      <c r="H300" s="39">
        <f t="shared" si="230"/>
        <v>714000</v>
      </c>
      <c r="I300" s="39">
        <f t="shared" si="230"/>
        <v>-100000</v>
      </c>
      <c r="J300" s="39">
        <f t="shared" si="230"/>
        <v>418320</v>
      </c>
      <c r="K300" s="39">
        <f t="shared" si="230"/>
        <v>0</v>
      </c>
      <c r="L300" s="39">
        <f t="shared" si="230"/>
        <v>418320</v>
      </c>
      <c r="M300" s="39"/>
      <c r="N300" s="39">
        <f t="shared" si="230"/>
        <v>0</v>
      </c>
      <c r="O300" s="39">
        <f t="shared" si="230"/>
        <v>418320</v>
      </c>
      <c r="P300" s="39">
        <f t="shared" si="230"/>
        <v>-12889.96</v>
      </c>
      <c r="Q300" s="39">
        <f t="shared" si="230"/>
        <v>405430.04000000004</v>
      </c>
      <c r="S300" s="9"/>
      <c r="W300" s="9"/>
      <c r="AA300" s="9"/>
      <c r="AD300" s="9">
        <f>Q300</f>
        <v>405430.04000000004</v>
      </c>
    </row>
    <row r="301" spans="1:30" ht="24.75" x14ac:dyDescent="0.25">
      <c r="A301" s="36" t="s">
        <v>158</v>
      </c>
      <c r="B301" s="37" t="s">
        <v>13</v>
      </c>
      <c r="C301" s="34" t="s">
        <v>156</v>
      </c>
      <c r="D301" s="35">
        <v>4604601</v>
      </c>
      <c r="E301" s="34"/>
      <c r="F301" s="39">
        <f>F302</f>
        <v>518320</v>
      </c>
      <c r="G301" s="39">
        <f t="shared" si="230"/>
        <v>714000</v>
      </c>
      <c r="H301" s="39">
        <f t="shared" si="230"/>
        <v>714000</v>
      </c>
      <c r="I301" s="39">
        <f t="shared" si="230"/>
        <v>-100000</v>
      </c>
      <c r="J301" s="39">
        <f t="shared" si="230"/>
        <v>418320</v>
      </c>
      <c r="K301" s="39">
        <f t="shared" si="230"/>
        <v>0</v>
      </c>
      <c r="L301" s="39">
        <f t="shared" si="230"/>
        <v>418320</v>
      </c>
      <c r="M301" s="39"/>
      <c r="N301" s="39">
        <f>N302+N304</f>
        <v>0</v>
      </c>
      <c r="O301" s="39">
        <f>O302+O304</f>
        <v>418320</v>
      </c>
      <c r="P301" s="39">
        <f>P302+P304</f>
        <v>-12889.96</v>
      </c>
      <c r="Q301" s="39">
        <f>Q302+Q304</f>
        <v>405430.04000000004</v>
      </c>
    </row>
    <row r="302" spans="1:30" ht="24.75" x14ac:dyDescent="0.25">
      <c r="A302" s="41" t="s">
        <v>44</v>
      </c>
      <c r="B302" s="37" t="s">
        <v>13</v>
      </c>
      <c r="C302" s="34" t="s">
        <v>156</v>
      </c>
      <c r="D302" s="35">
        <v>4604601</v>
      </c>
      <c r="E302" s="34" t="s">
        <v>74</v>
      </c>
      <c r="F302" s="39">
        <f>F303</f>
        <v>518320</v>
      </c>
      <c r="G302" s="39">
        <f t="shared" si="230"/>
        <v>714000</v>
      </c>
      <c r="H302" s="39">
        <f t="shared" si="230"/>
        <v>714000</v>
      </c>
      <c r="I302" s="39">
        <f t="shared" si="230"/>
        <v>-100000</v>
      </c>
      <c r="J302" s="39">
        <f t="shared" si="230"/>
        <v>418320</v>
      </c>
      <c r="K302" s="39">
        <f t="shared" si="230"/>
        <v>0</v>
      </c>
      <c r="L302" s="39">
        <f t="shared" si="230"/>
        <v>418320</v>
      </c>
      <c r="M302" s="39"/>
      <c r="N302" s="39">
        <f t="shared" si="230"/>
        <v>-199867.08</v>
      </c>
      <c r="O302" s="39">
        <f t="shared" si="230"/>
        <v>218452.92</v>
      </c>
      <c r="P302" s="39">
        <f t="shared" si="230"/>
        <v>-12889.96</v>
      </c>
      <c r="Q302" s="39">
        <f t="shared" si="230"/>
        <v>205562.96000000002</v>
      </c>
      <c r="R302" s="161"/>
    </row>
    <row r="303" spans="1:30" ht="36.75" x14ac:dyDescent="0.25">
      <c r="A303" s="41" t="s">
        <v>23</v>
      </c>
      <c r="B303" s="37" t="s">
        <v>13</v>
      </c>
      <c r="C303" s="34" t="s">
        <v>156</v>
      </c>
      <c r="D303" s="35">
        <v>4604601</v>
      </c>
      <c r="E303" s="34" t="s">
        <v>24</v>
      </c>
      <c r="F303" s="39">
        <f>682000*0.95*0.8</f>
        <v>518320</v>
      </c>
      <c r="G303" s="39">
        <v>714000</v>
      </c>
      <c r="H303" s="39">
        <v>714000</v>
      </c>
      <c r="I303" s="39">
        <f t="shared" ref="I303" si="231">+J303-F303</f>
        <v>-100000</v>
      </c>
      <c r="J303" s="39">
        <f>418320</f>
        <v>418320</v>
      </c>
      <c r="K303" s="39"/>
      <c r="L303" s="39">
        <f>418320</f>
        <v>418320</v>
      </c>
      <c r="M303" s="115" t="s">
        <v>281</v>
      </c>
      <c r="N303" s="39">
        <v>-199867.08</v>
      </c>
      <c r="O303" s="39">
        <f>L303+N303</f>
        <v>218452.92</v>
      </c>
      <c r="P303" s="39">
        <v>-12889.96</v>
      </c>
      <c r="Q303" s="39">
        <f>O303+P303</f>
        <v>205562.96000000002</v>
      </c>
    </row>
    <row r="304" spans="1:30" x14ac:dyDescent="0.25">
      <c r="A304" s="141" t="s">
        <v>267</v>
      </c>
      <c r="B304" s="37" t="s">
        <v>13</v>
      </c>
      <c r="C304" s="34" t="s">
        <v>156</v>
      </c>
      <c r="D304" s="35">
        <v>4604601</v>
      </c>
      <c r="E304" s="34" t="s">
        <v>268</v>
      </c>
      <c r="F304" s="39"/>
      <c r="G304" s="39"/>
      <c r="H304" s="39"/>
      <c r="I304" s="39"/>
      <c r="J304" s="39"/>
      <c r="K304" s="39"/>
      <c r="L304" s="39">
        <f>L305</f>
        <v>0</v>
      </c>
      <c r="M304" s="115"/>
      <c r="N304" s="39">
        <f>N305</f>
        <v>199867.08</v>
      </c>
      <c r="O304" s="39">
        <f>O305</f>
        <v>199867.08</v>
      </c>
      <c r="P304" s="39">
        <f>P305</f>
        <v>0</v>
      </c>
      <c r="Q304" s="39">
        <f>Q305</f>
        <v>199867.08</v>
      </c>
    </row>
    <row r="305" spans="1:31" x14ac:dyDescent="0.25">
      <c r="A305" s="140" t="s">
        <v>270</v>
      </c>
      <c r="B305" s="37" t="s">
        <v>13</v>
      </c>
      <c r="C305" s="34" t="s">
        <v>156</v>
      </c>
      <c r="D305" s="35">
        <v>4604601</v>
      </c>
      <c r="E305" s="34" t="s">
        <v>269</v>
      </c>
      <c r="F305" s="39"/>
      <c r="G305" s="39"/>
      <c r="H305" s="39"/>
      <c r="I305" s="39"/>
      <c r="J305" s="39"/>
      <c r="K305" s="39"/>
      <c r="L305" s="39"/>
      <c r="M305" s="115"/>
      <c r="N305" s="39">
        <v>199867.08</v>
      </c>
      <c r="O305" s="39">
        <f>L305+N305</f>
        <v>199867.08</v>
      </c>
      <c r="P305" s="39"/>
      <c r="Q305" s="39">
        <f>N305+P305</f>
        <v>199867.08</v>
      </c>
      <c r="R305" s="165"/>
    </row>
    <row r="306" spans="1:31" x14ac:dyDescent="0.25">
      <c r="A306" s="99" t="s">
        <v>204</v>
      </c>
      <c r="B306" s="82" t="s">
        <v>13</v>
      </c>
      <c r="C306" s="74" t="s">
        <v>205</v>
      </c>
      <c r="D306" s="100"/>
      <c r="E306" s="55"/>
      <c r="F306" s="31">
        <f t="shared" ref="F306:Q306" si="232">+F307</f>
        <v>13376907.65</v>
      </c>
      <c r="G306" s="31">
        <f t="shared" si="232"/>
        <v>14677881</v>
      </c>
      <c r="H306" s="31">
        <f t="shared" si="232"/>
        <v>14797501</v>
      </c>
      <c r="I306" s="31">
        <f t="shared" si="232"/>
        <v>285.35000000000582</v>
      </c>
      <c r="J306" s="31">
        <f t="shared" si="232"/>
        <v>13377193</v>
      </c>
      <c r="K306" s="31">
        <f t="shared" si="232"/>
        <v>0</v>
      </c>
      <c r="L306" s="31">
        <f t="shared" si="232"/>
        <v>13377193</v>
      </c>
      <c r="M306" s="31"/>
      <c r="N306" s="31">
        <f t="shared" si="232"/>
        <v>392079</v>
      </c>
      <c r="O306" s="31">
        <f t="shared" si="232"/>
        <v>13769272</v>
      </c>
      <c r="P306" s="31">
        <f t="shared" si="232"/>
        <v>686915.95</v>
      </c>
      <c r="Q306" s="31">
        <f t="shared" si="232"/>
        <v>14456187.949999999</v>
      </c>
      <c r="R306" s="144"/>
    </row>
    <row r="307" spans="1:31" x14ac:dyDescent="0.25">
      <c r="A307" s="50" t="s">
        <v>206</v>
      </c>
      <c r="B307" s="33" t="s">
        <v>13</v>
      </c>
      <c r="C307" s="29" t="s">
        <v>207</v>
      </c>
      <c r="D307" s="67"/>
      <c r="E307" s="35"/>
      <c r="F307" s="26">
        <f>F308+F327+F353</f>
        <v>13376907.65</v>
      </c>
      <c r="G307" s="26">
        <f>G308+G327</f>
        <v>14677881</v>
      </c>
      <c r="H307" s="26">
        <f>H308+H327</f>
        <v>14797501</v>
      </c>
      <c r="I307" s="26">
        <f t="shared" ref="I307:J307" si="233">I308+I327+I353</f>
        <v>285.35000000000582</v>
      </c>
      <c r="J307" s="26">
        <f t="shared" si="233"/>
        <v>13377193</v>
      </c>
      <c r="K307" s="26">
        <f t="shared" ref="K307" si="234">K308+K327+K353</f>
        <v>0</v>
      </c>
      <c r="L307" s="26">
        <f>L308+L327+L353+L357</f>
        <v>13377193</v>
      </c>
      <c r="M307" s="26"/>
      <c r="N307" s="26">
        <f>N308+N327+N353+N357</f>
        <v>392079</v>
      </c>
      <c r="O307" s="26">
        <f>O308+O327+O353+O357</f>
        <v>13769272</v>
      </c>
      <c r="P307" s="26">
        <f>P308+P327+P353+P357</f>
        <v>686915.95</v>
      </c>
      <c r="Q307" s="26">
        <f>Q308+Q327+Q353+Q357</f>
        <v>14456187.949999999</v>
      </c>
      <c r="R307" s="172"/>
    </row>
    <row r="308" spans="1:31" ht="31.5" x14ac:dyDescent="0.25">
      <c r="A308" s="130" t="s">
        <v>208</v>
      </c>
      <c r="B308" s="37" t="s">
        <v>13</v>
      </c>
      <c r="C308" s="34" t="s">
        <v>207</v>
      </c>
      <c r="D308" s="34" t="s">
        <v>209</v>
      </c>
      <c r="E308" s="34"/>
      <c r="F308" s="39">
        <f>+F309+F316+F319+F324</f>
        <v>4244818.6500000004</v>
      </c>
      <c r="G308" s="39">
        <f>+G309+G316+G319+G324</f>
        <v>4777267</v>
      </c>
      <c r="H308" s="39">
        <f>+H309+H316+H319+H324</f>
        <v>4803237</v>
      </c>
      <c r="I308" s="39">
        <f t="shared" ref="I308:J308" si="235">+I309+I316+I319+I324</f>
        <v>0.35000000000582077</v>
      </c>
      <c r="J308" s="39">
        <f t="shared" si="235"/>
        <v>4244819</v>
      </c>
      <c r="K308" s="39">
        <f t="shared" ref="K308:L308" si="236">+K309+K316+K319+K324</f>
        <v>0</v>
      </c>
      <c r="L308" s="39">
        <f t="shared" si="236"/>
        <v>4244819</v>
      </c>
      <c r="M308" s="39"/>
      <c r="N308" s="39">
        <f>+N309+N316+N319+N324</f>
        <v>0</v>
      </c>
      <c r="O308" s="39">
        <f t="shared" ref="O308" si="237">+O309+O316+O319+O324</f>
        <v>4244819</v>
      </c>
      <c r="P308" s="39">
        <f>+P309+P316+P319+P324</f>
        <v>-6486.87</v>
      </c>
      <c r="Q308" s="39">
        <f t="shared" ref="Q308" si="238">+Q309+Q316+Q319+Q324</f>
        <v>4238332.13</v>
      </c>
      <c r="R308" s="144"/>
      <c r="U308" s="9"/>
      <c r="X308" s="9"/>
      <c r="AB308" s="9"/>
      <c r="AE308" s="9">
        <f>Q308</f>
        <v>4238332.13</v>
      </c>
    </row>
    <row r="309" spans="1:31" ht="22.5" x14ac:dyDescent="0.25">
      <c r="A309" s="101" t="s">
        <v>94</v>
      </c>
      <c r="B309" s="34" t="s">
        <v>13</v>
      </c>
      <c r="C309" s="34" t="s">
        <v>207</v>
      </c>
      <c r="D309" s="34" t="s">
        <v>210</v>
      </c>
      <c r="E309" s="34"/>
      <c r="F309" s="39">
        <f>+F310+F312+F314</f>
        <v>4016818.65</v>
      </c>
      <c r="G309" s="39">
        <f>+G310+G312+G314</f>
        <v>4446267</v>
      </c>
      <c r="H309" s="39">
        <f>+H310+H312+H314</f>
        <v>4471237</v>
      </c>
      <c r="I309" s="39">
        <f t="shared" ref="I309:J309" si="239">+I310+I312+I314</f>
        <v>0.35000000000582077</v>
      </c>
      <c r="J309" s="39">
        <f t="shared" si="239"/>
        <v>4016819</v>
      </c>
      <c r="K309" s="39">
        <f t="shared" ref="K309:L309" si="240">+K310+K312+K314</f>
        <v>0</v>
      </c>
      <c r="L309" s="39">
        <f t="shared" si="240"/>
        <v>4016819</v>
      </c>
      <c r="M309" s="39"/>
      <c r="N309" s="39">
        <f>+N310+N312+N314</f>
        <v>41307.79</v>
      </c>
      <c r="O309" s="39">
        <f t="shared" ref="O309" si="241">+O310+O312+O314</f>
        <v>4058126.79</v>
      </c>
      <c r="P309" s="39">
        <f>+P310+P312+P314</f>
        <v>-742.36999999999989</v>
      </c>
      <c r="Q309" s="39">
        <f t="shared" ref="Q309" si="242">+Q310+Q312+Q314</f>
        <v>4057384.42</v>
      </c>
    </row>
    <row r="310" spans="1:31" ht="60.75" x14ac:dyDescent="0.25">
      <c r="A310" s="41" t="s">
        <v>19</v>
      </c>
      <c r="B310" s="34" t="s">
        <v>13</v>
      </c>
      <c r="C310" s="34" t="s">
        <v>207</v>
      </c>
      <c r="D310" s="34" t="s">
        <v>210</v>
      </c>
      <c r="E310" s="34" t="s">
        <v>20</v>
      </c>
      <c r="F310" s="39">
        <f>F311</f>
        <v>3757543</v>
      </c>
      <c r="G310" s="39">
        <f>G311</f>
        <v>4142866</v>
      </c>
      <c r="H310" s="39">
        <f>H311</f>
        <v>4142866</v>
      </c>
      <c r="I310" s="39">
        <f t="shared" ref="I310:Q310" si="243">I311</f>
        <v>0</v>
      </c>
      <c r="J310" s="39">
        <f t="shared" si="243"/>
        <v>3757543</v>
      </c>
      <c r="K310" s="39">
        <f t="shared" si="243"/>
        <v>0</v>
      </c>
      <c r="L310" s="39">
        <f t="shared" si="243"/>
        <v>3757543</v>
      </c>
      <c r="M310" s="39"/>
      <c r="N310" s="39">
        <f>N311</f>
        <v>0</v>
      </c>
      <c r="O310" s="39">
        <f t="shared" si="243"/>
        <v>3757543</v>
      </c>
      <c r="P310" s="39">
        <f>P311</f>
        <v>-359</v>
      </c>
      <c r="Q310" s="39">
        <f t="shared" si="243"/>
        <v>3757184</v>
      </c>
    </row>
    <row r="311" spans="1:31" ht="24.75" x14ac:dyDescent="0.25">
      <c r="A311" s="36" t="s">
        <v>96</v>
      </c>
      <c r="B311" s="34" t="s">
        <v>13</v>
      </c>
      <c r="C311" s="34" t="s">
        <v>207</v>
      </c>
      <c r="D311" s="34" t="s">
        <v>210</v>
      </c>
      <c r="E311" s="34" t="s">
        <v>97</v>
      </c>
      <c r="F311" s="39">
        <f>3181925+960941+2800-305111-83012</f>
        <v>3757543</v>
      </c>
      <c r="G311" s="39">
        <f>3181925+960941</f>
        <v>4142866</v>
      </c>
      <c r="H311" s="39">
        <f>3181925+960941</f>
        <v>4142866</v>
      </c>
      <c r="I311" s="39">
        <f t="shared" ref="I311" si="244">+J311-F311</f>
        <v>0</v>
      </c>
      <c r="J311" s="39">
        <f>3755743+1800</f>
        <v>3757543</v>
      </c>
      <c r="K311" s="39"/>
      <c r="L311" s="39">
        <f>3755743+1800</f>
        <v>3757543</v>
      </c>
      <c r="M311" s="39"/>
      <c r="N311" s="39"/>
      <c r="O311" s="39">
        <f>3755743+1800</f>
        <v>3757543</v>
      </c>
      <c r="P311" s="39">
        <v>-359</v>
      </c>
      <c r="Q311" s="39">
        <f>O311+P311</f>
        <v>3757184</v>
      </c>
    </row>
    <row r="312" spans="1:31" ht="24.75" x14ac:dyDescent="0.25">
      <c r="A312" s="41" t="s">
        <v>44</v>
      </c>
      <c r="B312" s="34" t="s">
        <v>13</v>
      </c>
      <c r="C312" s="34" t="s">
        <v>207</v>
      </c>
      <c r="D312" s="34" t="s">
        <v>210</v>
      </c>
      <c r="E312" s="34" t="s">
        <v>74</v>
      </c>
      <c r="F312" s="39">
        <f>F313</f>
        <v>254275.65</v>
      </c>
      <c r="G312" s="39">
        <f>G313</f>
        <v>298401</v>
      </c>
      <c r="H312" s="39">
        <f>H313</f>
        <v>323371</v>
      </c>
      <c r="I312" s="39">
        <f t="shared" ref="I312:Q312" si="245">I313</f>
        <v>0.35000000000582077</v>
      </c>
      <c r="J312" s="39">
        <f t="shared" si="245"/>
        <v>254276</v>
      </c>
      <c r="K312" s="39">
        <f t="shared" si="245"/>
        <v>0</v>
      </c>
      <c r="L312" s="39">
        <f t="shared" si="245"/>
        <v>254276</v>
      </c>
      <c r="M312" s="39"/>
      <c r="N312" s="39">
        <f t="shared" si="245"/>
        <v>41307.79</v>
      </c>
      <c r="O312" s="39">
        <f t="shared" si="245"/>
        <v>295583.78999999998</v>
      </c>
      <c r="P312" s="39">
        <f t="shared" si="245"/>
        <v>-384.83</v>
      </c>
      <c r="Q312" s="39">
        <f t="shared" si="245"/>
        <v>295198.95999999996</v>
      </c>
    </row>
    <row r="313" spans="1:31" ht="36.75" x14ac:dyDescent="0.25">
      <c r="A313" s="41" t="s">
        <v>23</v>
      </c>
      <c r="B313" s="34" t="s">
        <v>13</v>
      </c>
      <c r="C313" s="34" t="s">
        <v>207</v>
      </c>
      <c r="D313" s="34" t="s">
        <v>210</v>
      </c>
      <c r="E313" s="34" t="s">
        <v>24</v>
      </c>
      <c r="F313" s="39">
        <f>(24125+1077+134419+25357+52549+15500+27000-5000)*0.95-7000</f>
        <v>254275.65</v>
      </c>
      <c r="G313" s="39">
        <f>25910+1157+148067+27233+56536+10500+28998</f>
        <v>298401</v>
      </c>
      <c r="H313" s="39">
        <f>27724+1238+162997+29139+60746+15500+31028-5000-1</f>
        <v>323371</v>
      </c>
      <c r="I313" s="39">
        <f t="shared" ref="I313" si="246">+J313-F313</f>
        <v>0.35000000000582077</v>
      </c>
      <c r="J313" s="39">
        <v>254276</v>
      </c>
      <c r="K313" s="39"/>
      <c r="L313" s="39">
        <v>254276</v>
      </c>
      <c r="M313" s="39"/>
      <c r="N313" s="39">
        <v>41307.79</v>
      </c>
      <c r="O313" s="39">
        <f>L313+N313</f>
        <v>295583.78999999998</v>
      </c>
      <c r="P313" s="39">
        <v>-384.83</v>
      </c>
      <c r="Q313" s="39">
        <f>O313+P313</f>
        <v>295198.95999999996</v>
      </c>
      <c r="R313" s="159"/>
    </row>
    <row r="314" spans="1:31" x14ac:dyDescent="0.25">
      <c r="A314" s="41" t="s">
        <v>25</v>
      </c>
      <c r="B314" s="34" t="s">
        <v>13</v>
      </c>
      <c r="C314" s="34" t="s">
        <v>207</v>
      </c>
      <c r="D314" s="34" t="s">
        <v>210</v>
      </c>
      <c r="E314" s="34" t="s">
        <v>26</v>
      </c>
      <c r="F314" s="39">
        <f>F315</f>
        <v>5000</v>
      </c>
      <c r="G314" s="39">
        <f>G315</f>
        <v>5000</v>
      </c>
      <c r="H314" s="39">
        <f>H315</f>
        <v>5000</v>
      </c>
      <c r="I314" s="39">
        <f t="shared" ref="I314:Q314" si="247">I315</f>
        <v>0</v>
      </c>
      <c r="J314" s="39">
        <f t="shared" si="247"/>
        <v>5000</v>
      </c>
      <c r="K314" s="39">
        <f t="shared" si="247"/>
        <v>0</v>
      </c>
      <c r="L314" s="39">
        <f t="shared" si="247"/>
        <v>5000</v>
      </c>
      <c r="M314" s="39"/>
      <c r="N314" s="39">
        <f t="shared" si="247"/>
        <v>0</v>
      </c>
      <c r="O314" s="39">
        <f t="shared" si="247"/>
        <v>5000</v>
      </c>
      <c r="P314" s="39">
        <f t="shared" si="247"/>
        <v>1.46</v>
      </c>
      <c r="Q314" s="39">
        <f t="shared" si="247"/>
        <v>5001.46</v>
      </c>
    </row>
    <row r="315" spans="1:31" x14ac:dyDescent="0.25">
      <c r="A315" s="41" t="s">
        <v>194</v>
      </c>
      <c r="B315" s="34" t="s">
        <v>13</v>
      </c>
      <c r="C315" s="34" t="s">
        <v>207</v>
      </c>
      <c r="D315" s="34" t="s">
        <v>210</v>
      </c>
      <c r="E315" s="34" t="s">
        <v>195</v>
      </c>
      <c r="F315" s="39">
        <v>5000</v>
      </c>
      <c r="G315" s="39">
        <v>5000</v>
      </c>
      <c r="H315" s="39">
        <v>5000</v>
      </c>
      <c r="I315" s="39">
        <f t="shared" ref="I315" si="248">+J315-F315</f>
        <v>0</v>
      </c>
      <c r="J315" s="39">
        <v>5000</v>
      </c>
      <c r="K315" s="39">
        <f t="shared" ref="K315" si="249">+L315-H315</f>
        <v>0</v>
      </c>
      <c r="L315" s="39">
        <v>5000</v>
      </c>
      <c r="M315" s="39"/>
      <c r="N315" s="39"/>
      <c r="O315" s="39">
        <v>5000</v>
      </c>
      <c r="P315" s="39">
        <v>1.46</v>
      </c>
      <c r="Q315" s="39">
        <f>O315+P315</f>
        <v>5001.46</v>
      </c>
    </row>
    <row r="316" spans="1:31" ht="24" x14ac:dyDescent="0.25">
      <c r="A316" s="102" t="s">
        <v>211</v>
      </c>
      <c r="B316" s="34" t="s">
        <v>13</v>
      </c>
      <c r="C316" s="34" t="s">
        <v>207</v>
      </c>
      <c r="D316" s="34" t="s">
        <v>212</v>
      </c>
      <c r="E316" s="34"/>
      <c r="F316" s="39">
        <f>+F317</f>
        <v>17000</v>
      </c>
      <c r="G316" s="39">
        <f>+G317</f>
        <v>37000</v>
      </c>
      <c r="H316" s="39">
        <f>+H317</f>
        <v>37000</v>
      </c>
      <c r="I316" s="39">
        <f t="shared" ref="I316:Q316" si="250">+I317</f>
        <v>0</v>
      </c>
      <c r="J316" s="39">
        <f t="shared" si="250"/>
        <v>17000</v>
      </c>
      <c r="K316" s="39">
        <f t="shared" si="250"/>
        <v>0</v>
      </c>
      <c r="L316" s="39">
        <f t="shared" si="250"/>
        <v>17000</v>
      </c>
      <c r="M316" s="39"/>
      <c r="N316" s="39">
        <f t="shared" si="250"/>
        <v>-17000</v>
      </c>
      <c r="O316" s="39">
        <f t="shared" si="250"/>
        <v>0</v>
      </c>
      <c r="P316" s="39">
        <f t="shared" si="250"/>
        <v>0</v>
      </c>
      <c r="Q316" s="39">
        <f t="shared" si="250"/>
        <v>0</v>
      </c>
    </row>
    <row r="317" spans="1:31" ht="24.75" x14ac:dyDescent="0.25">
      <c r="A317" s="41" t="s">
        <v>44</v>
      </c>
      <c r="B317" s="34" t="s">
        <v>13</v>
      </c>
      <c r="C317" s="34" t="s">
        <v>207</v>
      </c>
      <c r="D317" s="34" t="s">
        <v>212</v>
      </c>
      <c r="E317" s="34" t="s">
        <v>74</v>
      </c>
      <c r="F317" s="39">
        <f>F318</f>
        <v>17000</v>
      </c>
      <c r="G317" s="39">
        <f>G318</f>
        <v>37000</v>
      </c>
      <c r="H317" s="39">
        <f>H318</f>
        <v>37000</v>
      </c>
      <c r="I317" s="39">
        <f t="shared" ref="I317:Q317" si="251">I318</f>
        <v>0</v>
      </c>
      <c r="J317" s="39">
        <f t="shared" si="251"/>
        <v>17000</v>
      </c>
      <c r="K317" s="39">
        <f t="shared" si="251"/>
        <v>0</v>
      </c>
      <c r="L317" s="39">
        <f t="shared" si="251"/>
        <v>17000</v>
      </c>
      <c r="M317" s="39"/>
      <c r="N317" s="39">
        <f t="shared" si="251"/>
        <v>-17000</v>
      </c>
      <c r="O317" s="39">
        <f t="shared" si="251"/>
        <v>0</v>
      </c>
      <c r="P317" s="39">
        <f t="shared" si="251"/>
        <v>0</v>
      </c>
      <c r="Q317" s="39">
        <f t="shared" si="251"/>
        <v>0</v>
      </c>
    </row>
    <row r="318" spans="1:31" ht="36.75" x14ac:dyDescent="0.25">
      <c r="A318" s="41" t="s">
        <v>23</v>
      </c>
      <c r="B318" s="34" t="s">
        <v>13</v>
      </c>
      <c r="C318" s="34" t="s">
        <v>207</v>
      </c>
      <c r="D318" s="34" t="s">
        <v>212</v>
      </c>
      <c r="E318" s="34" t="s">
        <v>24</v>
      </c>
      <c r="F318" s="39">
        <v>17000</v>
      </c>
      <c r="G318" s="39">
        <v>37000</v>
      </c>
      <c r="H318" s="39">
        <v>37000</v>
      </c>
      <c r="I318" s="39">
        <f t="shared" ref="I318" si="252">+J318-F318</f>
        <v>0</v>
      </c>
      <c r="J318" s="39">
        <v>17000</v>
      </c>
      <c r="K318" s="39"/>
      <c r="L318" s="39">
        <v>17000</v>
      </c>
      <c r="M318" s="39"/>
      <c r="N318" s="39">
        <v>-17000</v>
      </c>
      <c r="O318" s="39">
        <f>L318+N318</f>
        <v>0</v>
      </c>
      <c r="P318" s="39"/>
      <c r="Q318" s="39">
        <f>O318+P318</f>
        <v>0</v>
      </c>
    </row>
    <row r="319" spans="1:31" ht="24.75" x14ac:dyDescent="0.25">
      <c r="A319" s="42" t="s">
        <v>213</v>
      </c>
      <c r="B319" s="34" t="s">
        <v>13</v>
      </c>
      <c r="C319" s="34" t="s">
        <v>207</v>
      </c>
      <c r="D319" s="34" t="s">
        <v>214</v>
      </c>
      <c r="E319" s="34"/>
      <c r="F319" s="39">
        <f>F320+F322</f>
        <v>208000</v>
      </c>
      <c r="G319" s="39">
        <f>G320+G322</f>
        <v>290000</v>
      </c>
      <c r="H319" s="39">
        <f>H320+H322</f>
        <v>290000</v>
      </c>
      <c r="I319" s="39">
        <f t="shared" ref="I319:J319" si="253">I320+I322</f>
        <v>0</v>
      </c>
      <c r="J319" s="39">
        <f t="shared" si="253"/>
        <v>208000</v>
      </c>
      <c r="K319" s="39">
        <f t="shared" ref="K319:L319" si="254">K320+K322</f>
        <v>0</v>
      </c>
      <c r="L319" s="39">
        <f t="shared" si="254"/>
        <v>208000</v>
      </c>
      <c r="M319" s="39"/>
      <c r="N319" s="39">
        <f t="shared" ref="N319:O319" si="255">N320+N322</f>
        <v>-24307.79</v>
      </c>
      <c r="O319" s="39">
        <f t="shared" si="255"/>
        <v>183692.21</v>
      </c>
      <c r="P319" s="39">
        <f t="shared" ref="P319:Q319" si="256">P320+P322</f>
        <v>-2744.5</v>
      </c>
      <c r="Q319" s="39">
        <f t="shared" si="256"/>
        <v>180947.71</v>
      </c>
    </row>
    <row r="320" spans="1:31" ht="24.75" x14ac:dyDescent="0.25">
      <c r="A320" s="46" t="s">
        <v>44</v>
      </c>
      <c r="B320" s="34" t="s">
        <v>13</v>
      </c>
      <c r="C320" s="34" t="s">
        <v>207</v>
      </c>
      <c r="D320" s="34" t="s">
        <v>214</v>
      </c>
      <c r="E320" s="34" t="s">
        <v>74</v>
      </c>
      <c r="F320" s="39">
        <f>F321</f>
        <v>208000</v>
      </c>
      <c r="G320" s="39">
        <f>G321</f>
        <v>290000</v>
      </c>
      <c r="H320" s="39">
        <f>H321</f>
        <v>290000</v>
      </c>
      <c r="I320" s="39">
        <f t="shared" ref="I320:Q320" si="257">I321</f>
        <v>0</v>
      </c>
      <c r="J320" s="39">
        <f t="shared" si="257"/>
        <v>208000</v>
      </c>
      <c r="K320" s="39">
        <f t="shared" si="257"/>
        <v>0</v>
      </c>
      <c r="L320" s="39">
        <f t="shared" si="257"/>
        <v>208000</v>
      </c>
      <c r="M320" s="39"/>
      <c r="N320" s="39">
        <f t="shared" si="257"/>
        <v>-24307.79</v>
      </c>
      <c r="O320" s="39">
        <f t="shared" si="257"/>
        <v>183692.21</v>
      </c>
      <c r="P320" s="39">
        <f t="shared" si="257"/>
        <v>-2744.5</v>
      </c>
      <c r="Q320" s="39">
        <f t="shared" si="257"/>
        <v>180947.71</v>
      </c>
    </row>
    <row r="321" spans="1:32" ht="36.75" x14ac:dyDescent="0.25">
      <c r="A321" s="47" t="s">
        <v>23</v>
      </c>
      <c r="B321" s="34" t="s">
        <v>13</v>
      </c>
      <c r="C321" s="34" t="s">
        <v>207</v>
      </c>
      <c r="D321" s="34" t="s">
        <v>214</v>
      </c>
      <c r="E321" s="34" t="s">
        <v>24</v>
      </c>
      <c r="F321" s="39">
        <f>60000+200000-40000-12000</f>
        <v>208000</v>
      </c>
      <c r="G321" s="39">
        <v>290000</v>
      </c>
      <c r="H321" s="39">
        <v>290000</v>
      </c>
      <c r="I321" s="39">
        <f t="shared" ref="I321" si="258">+J321-F321</f>
        <v>0</v>
      </c>
      <c r="J321" s="39">
        <v>208000</v>
      </c>
      <c r="K321" s="39"/>
      <c r="L321" s="39">
        <v>208000</v>
      </c>
      <c r="M321" s="39"/>
      <c r="N321" s="39">
        <v>-24307.79</v>
      </c>
      <c r="O321" s="39">
        <f>L321+N321</f>
        <v>183692.21</v>
      </c>
      <c r="P321" s="39">
        <v>-2744.5</v>
      </c>
      <c r="Q321" s="39">
        <f>O321+P321</f>
        <v>180947.71</v>
      </c>
    </row>
    <row r="322" spans="1:32" ht="36.75" x14ac:dyDescent="0.25">
      <c r="A322" s="47" t="s">
        <v>132</v>
      </c>
      <c r="B322" s="34" t="s">
        <v>13</v>
      </c>
      <c r="C322" s="34" t="s">
        <v>207</v>
      </c>
      <c r="D322" s="34" t="s">
        <v>214</v>
      </c>
      <c r="E322" s="34" t="s">
        <v>133</v>
      </c>
      <c r="F322" s="39">
        <f>F323</f>
        <v>0</v>
      </c>
      <c r="G322" s="39">
        <f>G323</f>
        <v>0</v>
      </c>
      <c r="H322" s="39">
        <f>H323</f>
        <v>0</v>
      </c>
      <c r="I322" s="39">
        <f t="shared" ref="I322:Q322" si="259">I323</f>
        <v>0</v>
      </c>
      <c r="J322" s="39">
        <f t="shared" si="259"/>
        <v>0</v>
      </c>
      <c r="K322" s="39">
        <f t="shared" si="259"/>
        <v>0</v>
      </c>
      <c r="L322" s="39">
        <f t="shared" si="259"/>
        <v>0</v>
      </c>
      <c r="M322" s="39"/>
      <c r="N322" s="39">
        <f t="shared" si="259"/>
        <v>0</v>
      </c>
      <c r="O322" s="39">
        <f t="shared" si="259"/>
        <v>0</v>
      </c>
      <c r="P322" s="39">
        <f t="shared" si="259"/>
        <v>0</v>
      </c>
      <c r="Q322" s="39">
        <f t="shared" si="259"/>
        <v>0</v>
      </c>
    </row>
    <row r="323" spans="1:32" x14ac:dyDescent="0.25">
      <c r="A323" s="47" t="s">
        <v>134</v>
      </c>
      <c r="B323" s="34" t="s">
        <v>13</v>
      </c>
      <c r="C323" s="34" t="s">
        <v>207</v>
      </c>
      <c r="D323" s="34" t="s">
        <v>214</v>
      </c>
      <c r="E323" s="34" t="s">
        <v>135</v>
      </c>
      <c r="F323" s="39"/>
      <c r="G323" s="39"/>
      <c r="H323" s="39"/>
      <c r="I323" s="39">
        <f t="shared" ref="I323" si="260">+J323-F323</f>
        <v>0</v>
      </c>
      <c r="J323" s="39"/>
      <c r="K323" s="39">
        <f t="shared" ref="K323" si="261">+L323-H323</f>
        <v>0</v>
      </c>
      <c r="L323" s="39"/>
      <c r="M323" s="39"/>
      <c r="N323" s="39">
        <f t="shared" ref="N323" si="262">+O323-K323</f>
        <v>0</v>
      </c>
      <c r="O323" s="39"/>
      <c r="P323" s="39">
        <f>+Q323-M323</f>
        <v>0</v>
      </c>
      <c r="Q323" s="39"/>
    </row>
    <row r="324" spans="1:32" ht="24.75" x14ac:dyDescent="0.25">
      <c r="A324" s="36" t="s">
        <v>215</v>
      </c>
      <c r="B324" s="34" t="s">
        <v>13</v>
      </c>
      <c r="C324" s="34" t="s">
        <v>207</v>
      </c>
      <c r="D324" s="34" t="s">
        <v>216</v>
      </c>
      <c r="E324" s="34"/>
      <c r="F324" s="39">
        <f t="shared" ref="F324:Q325" si="263">F325</f>
        <v>3000</v>
      </c>
      <c r="G324" s="39">
        <f t="shared" si="263"/>
        <v>4000</v>
      </c>
      <c r="H324" s="39">
        <f t="shared" si="263"/>
        <v>5000</v>
      </c>
      <c r="I324" s="39">
        <f t="shared" si="263"/>
        <v>0</v>
      </c>
      <c r="J324" s="39">
        <f t="shared" si="263"/>
        <v>3000</v>
      </c>
      <c r="K324" s="39">
        <f t="shared" si="263"/>
        <v>0</v>
      </c>
      <c r="L324" s="39">
        <f t="shared" si="263"/>
        <v>3000</v>
      </c>
      <c r="M324" s="39"/>
      <c r="N324" s="39">
        <f t="shared" si="263"/>
        <v>0</v>
      </c>
      <c r="O324" s="39">
        <f t="shared" si="263"/>
        <v>3000</v>
      </c>
      <c r="P324" s="39">
        <f t="shared" si="263"/>
        <v>-3000</v>
      </c>
      <c r="Q324" s="39">
        <f t="shared" si="263"/>
        <v>0</v>
      </c>
    </row>
    <row r="325" spans="1:32" ht="24.75" x14ac:dyDescent="0.25">
      <c r="A325" s="46" t="s">
        <v>44</v>
      </c>
      <c r="B325" s="34" t="s">
        <v>13</v>
      </c>
      <c r="C325" s="34" t="s">
        <v>207</v>
      </c>
      <c r="D325" s="34" t="s">
        <v>216</v>
      </c>
      <c r="E325" s="34" t="s">
        <v>74</v>
      </c>
      <c r="F325" s="39">
        <f t="shared" si="263"/>
        <v>3000</v>
      </c>
      <c r="G325" s="39">
        <f t="shared" si="263"/>
        <v>4000</v>
      </c>
      <c r="H325" s="39">
        <f t="shared" si="263"/>
        <v>5000</v>
      </c>
      <c r="I325" s="39">
        <f t="shared" si="263"/>
        <v>0</v>
      </c>
      <c r="J325" s="39">
        <f t="shared" si="263"/>
        <v>3000</v>
      </c>
      <c r="K325" s="39">
        <f t="shared" si="263"/>
        <v>0</v>
      </c>
      <c r="L325" s="39">
        <f t="shared" si="263"/>
        <v>3000</v>
      </c>
      <c r="M325" s="39"/>
      <c r="N325" s="39">
        <f t="shared" si="263"/>
        <v>0</v>
      </c>
      <c r="O325" s="39">
        <f t="shared" si="263"/>
        <v>3000</v>
      </c>
      <c r="P325" s="39">
        <f>P326</f>
        <v>-3000</v>
      </c>
      <c r="Q325" s="39">
        <f t="shared" si="263"/>
        <v>0</v>
      </c>
    </row>
    <row r="326" spans="1:32" ht="36.75" x14ac:dyDescent="0.25">
      <c r="A326" s="47" t="s">
        <v>23</v>
      </c>
      <c r="B326" s="34" t="s">
        <v>13</v>
      </c>
      <c r="C326" s="34" t="s">
        <v>207</v>
      </c>
      <c r="D326" s="34" t="s">
        <v>216</v>
      </c>
      <c r="E326" s="34" t="s">
        <v>24</v>
      </c>
      <c r="F326" s="39">
        <v>3000</v>
      </c>
      <c r="G326" s="39">
        <v>4000</v>
      </c>
      <c r="H326" s="39">
        <v>5000</v>
      </c>
      <c r="I326" s="39">
        <f t="shared" ref="I326" si="264">+J326-F326</f>
        <v>0</v>
      </c>
      <c r="J326" s="39">
        <v>3000</v>
      </c>
      <c r="K326" s="39"/>
      <c r="L326" s="39">
        <v>3000</v>
      </c>
      <c r="M326" s="39"/>
      <c r="N326" s="39"/>
      <c r="O326" s="39">
        <v>3000</v>
      </c>
      <c r="P326" s="39">
        <v>-3000</v>
      </c>
      <c r="Q326" s="39">
        <f>O326+P326</f>
        <v>0</v>
      </c>
    </row>
    <row r="327" spans="1:32" ht="33" x14ac:dyDescent="0.25">
      <c r="A327" s="134" t="s">
        <v>217</v>
      </c>
      <c r="B327" s="37" t="s">
        <v>13</v>
      </c>
      <c r="C327" s="34" t="s">
        <v>207</v>
      </c>
      <c r="D327" s="34" t="s">
        <v>218</v>
      </c>
      <c r="E327" s="34"/>
      <c r="F327" s="39">
        <f>+F338+F346+F331+F341</f>
        <v>9132089</v>
      </c>
      <c r="G327" s="39">
        <f>+G338+G346+G331+G341</f>
        <v>9900614</v>
      </c>
      <c r="H327" s="39">
        <f>+H338+H346+H331+H341</f>
        <v>9994264</v>
      </c>
      <c r="I327" s="39">
        <f t="shared" ref="I327:J327" si="265">+I338+I346+I331+I341</f>
        <v>-99715</v>
      </c>
      <c r="J327" s="39">
        <f t="shared" si="265"/>
        <v>9032374</v>
      </c>
      <c r="K327" s="39">
        <f t="shared" ref="K327:L327" si="266">+K338+K346+K331+K341</f>
        <v>0</v>
      </c>
      <c r="L327" s="39">
        <f t="shared" si="266"/>
        <v>9032374</v>
      </c>
      <c r="M327" s="39"/>
      <c r="N327" s="39">
        <f t="shared" ref="N327" si="267">+N338+N346+N331+N341</f>
        <v>346079</v>
      </c>
      <c r="O327" s="39">
        <f>+O338+O346+O331+O341+O328</f>
        <v>9378453</v>
      </c>
      <c r="P327" s="39">
        <f>+P338+P346+P331+P341+P328</f>
        <v>693402.82</v>
      </c>
      <c r="Q327" s="39">
        <f>+Q338+Q346+Q331+Q341+Q328</f>
        <v>10071855.82</v>
      </c>
      <c r="T327" s="9"/>
      <c r="Y327" s="9"/>
      <c r="AC327" s="9"/>
      <c r="AF327" s="9">
        <f>Q327</f>
        <v>10071855.82</v>
      </c>
    </row>
    <row r="328" spans="1:32" ht="23.25" x14ac:dyDescent="0.25">
      <c r="A328" s="171" t="s">
        <v>323</v>
      </c>
      <c r="B328" s="37" t="s">
        <v>13</v>
      </c>
      <c r="C328" s="34" t="s">
        <v>207</v>
      </c>
      <c r="D328" s="34" t="s">
        <v>324</v>
      </c>
      <c r="E328" s="34"/>
      <c r="F328" s="39"/>
      <c r="G328" s="39"/>
      <c r="H328" s="39"/>
      <c r="I328" s="39"/>
      <c r="J328" s="39"/>
      <c r="K328" s="39"/>
      <c r="L328" s="39"/>
      <c r="M328" s="39"/>
      <c r="N328" s="39"/>
      <c r="O328" s="39">
        <f t="shared" ref="O328:Q329" si="268">O329</f>
        <v>0</v>
      </c>
      <c r="P328" s="39">
        <f t="shared" si="268"/>
        <v>500000</v>
      </c>
      <c r="Q328" s="39">
        <f t="shared" si="268"/>
        <v>500000</v>
      </c>
      <c r="T328" s="9"/>
      <c r="Y328" s="9"/>
      <c r="AC328" s="9"/>
      <c r="AF328" s="9"/>
    </row>
    <row r="329" spans="1:32" ht="24.75" x14ac:dyDescent="0.25">
      <c r="A329" s="41" t="s">
        <v>44</v>
      </c>
      <c r="B329" s="37" t="s">
        <v>13</v>
      </c>
      <c r="C329" s="34" t="s">
        <v>207</v>
      </c>
      <c r="D329" s="34" t="s">
        <v>324</v>
      </c>
      <c r="E329" s="34" t="s">
        <v>74</v>
      </c>
      <c r="F329" s="39"/>
      <c r="G329" s="39"/>
      <c r="H329" s="39"/>
      <c r="I329" s="39"/>
      <c r="J329" s="39"/>
      <c r="K329" s="39"/>
      <c r="L329" s="39"/>
      <c r="M329" s="39"/>
      <c r="N329" s="39"/>
      <c r="O329" s="39">
        <f t="shared" si="268"/>
        <v>0</v>
      </c>
      <c r="P329" s="39">
        <f t="shared" si="268"/>
        <v>500000</v>
      </c>
      <c r="Q329" s="39">
        <f t="shared" si="268"/>
        <v>500000</v>
      </c>
      <c r="T329" s="9"/>
      <c r="Y329" s="9"/>
      <c r="AC329" s="9"/>
      <c r="AF329" s="9"/>
    </row>
    <row r="330" spans="1:32" ht="36.75" x14ac:dyDescent="0.25">
      <c r="A330" s="41" t="s">
        <v>23</v>
      </c>
      <c r="B330" s="37" t="s">
        <v>13</v>
      </c>
      <c r="C330" s="34" t="s">
        <v>207</v>
      </c>
      <c r="D330" s="34" t="s">
        <v>324</v>
      </c>
      <c r="E330" s="34" t="s">
        <v>24</v>
      </c>
      <c r="F330" s="39"/>
      <c r="G330" s="39"/>
      <c r="H330" s="39"/>
      <c r="I330" s="39"/>
      <c r="J330" s="39"/>
      <c r="K330" s="39"/>
      <c r="L330" s="39"/>
      <c r="M330" s="39"/>
      <c r="N330" s="39"/>
      <c r="O330" s="39">
        <v>0</v>
      </c>
      <c r="P330" s="39">
        <v>500000</v>
      </c>
      <c r="Q330" s="39">
        <f>O330+P330</f>
        <v>500000</v>
      </c>
      <c r="T330" s="9"/>
      <c r="Y330" s="9"/>
      <c r="AC330" s="9"/>
      <c r="AF330" s="9"/>
    </row>
    <row r="331" spans="1:32" ht="24.75" x14ac:dyDescent="0.25">
      <c r="A331" s="36" t="s">
        <v>94</v>
      </c>
      <c r="B331" s="37" t="s">
        <v>13</v>
      </c>
      <c r="C331" s="34" t="s">
        <v>207</v>
      </c>
      <c r="D331" s="34" t="s">
        <v>219</v>
      </c>
      <c r="E331" s="34"/>
      <c r="F331" s="39">
        <f>F332+F334+F336</f>
        <v>7656379</v>
      </c>
      <c r="G331" s="39">
        <f>G332+G334+G336</f>
        <v>7690614</v>
      </c>
      <c r="H331" s="39">
        <f>H332+H334+H336</f>
        <v>7757210</v>
      </c>
      <c r="I331" s="39">
        <f t="shared" ref="I331:J331" si="269">I332+I334+I336</f>
        <v>0</v>
      </c>
      <c r="J331" s="39">
        <f t="shared" si="269"/>
        <v>7656379</v>
      </c>
      <c r="K331" s="39">
        <f t="shared" ref="K331:L331" si="270">K332+K334+K336</f>
        <v>0</v>
      </c>
      <c r="L331" s="39">
        <f t="shared" si="270"/>
        <v>7656379</v>
      </c>
      <c r="M331" s="39"/>
      <c r="N331" s="39"/>
      <c r="O331" s="39">
        <f t="shared" ref="O331" si="271">O332+O334+O336</f>
        <v>7656379</v>
      </c>
      <c r="P331" s="39">
        <f>P333+P335+P337</f>
        <v>-19318.739999999998</v>
      </c>
      <c r="Q331" s="39">
        <f t="shared" ref="Q331" si="272">Q332+Q334+Q336</f>
        <v>7637060.2599999998</v>
      </c>
    </row>
    <row r="332" spans="1:32" ht="60.75" x14ac:dyDescent="0.25">
      <c r="A332" s="41" t="s">
        <v>19</v>
      </c>
      <c r="B332" s="37" t="s">
        <v>13</v>
      </c>
      <c r="C332" s="34" t="s">
        <v>207</v>
      </c>
      <c r="D332" s="34" t="s">
        <v>219</v>
      </c>
      <c r="E332" s="34" t="s">
        <v>20</v>
      </c>
      <c r="F332" s="39">
        <f>F333</f>
        <v>6874795</v>
      </c>
      <c r="G332" s="39">
        <f>G333</f>
        <v>6924795</v>
      </c>
      <c r="H332" s="39">
        <f>H333</f>
        <v>6924795</v>
      </c>
      <c r="I332" s="39">
        <f t="shared" ref="I332:Q332" si="273">I333</f>
        <v>0</v>
      </c>
      <c r="J332" s="39">
        <f t="shared" si="273"/>
        <v>6874795</v>
      </c>
      <c r="K332" s="39">
        <f t="shared" si="273"/>
        <v>0</v>
      </c>
      <c r="L332" s="39">
        <f t="shared" si="273"/>
        <v>6874795</v>
      </c>
      <c r="M332" s="39"/>
      <c r="N332" s="39">
        <f t="shared" si="273"/>
        <v>0</v>
      </c>
      <c r="O332" s="39">
        <f t="shared" si="273"/>
        <v>6874795</v>
      </c>
      <c r="P332" s="39">
        <f t="shared" si="273"/>
        <v>0</v>
      </c>
      <c r="Q332" s="39">
        <f t="shared" si="273"/>
        <v>6874795</v>
      </c>
    </row>
    <row r="333" spans="1:32" ht="24.75" x14ac:dyDescent="0.25">
      <c r="A333" s="36" t="s">
        <v>96</v>
      </c>
      <c r="B333" s="37" t="s">
        <v>13</v>
      </c>
      <c r="C333" s="34" t="s">
        <v>207</v>
      </c>
      <c r="D333" s="34" t="s">
        <v>219</v>
      </c>
      <c r="E333" s="34" t="s">
        <v>97</v>
      </c>
      <c r="F333" s="39">
        <f>5318583+1606212-50000</f>
        <v>6874795</v>
      </c>
      <c r="G333" s="39">
        <f>5318583+1606212</f>
        <v>6924795</v>
      </c>
      <c r="H333" s="39">
        <f>5318583+1606212</f>
        <v>6924795</v>
      </c>
      <c r="I333" s="39">
        <f t="shared" ref="I333" si="274">+J333-F333</f>
        <v>0</v>
      </c>
      <c r="J333" s="39">
        <v>6874795</v>
      </c>
      <c r="K333" s="39"/>
      <c r="L333" s="39">
        <v>6874795</v>
      </c>
      <c r="M333" s="39"/>
      <c r="N333" s="39"/>
      <c r="O333" s="39">
        <v>6874795</v>
      </c>
      <c r="P333" s="39"/>
      <c r="Q333" s="39">
        <v>6874795</v>
      </c>
    </row>
    <row r="334" spans="1:32" ht="24.75" x14ac:dyDescent="0.25">
      <c r="A334" s="41" t="s">
        <v>44</v>
      </c>
      <c r="B334" s="37" t="s">
        <v>13</v>
      </c>
      <c r="C334" s="34" t="s">
        <v>207</v>
      </c>
      <c r="D334" s="34" t="s">
        <v>219</v>
      </c>
      <c r="E334" s="34" t="s">
        <v>74</v>
      </c>
      <c r="F334" s="39">
        <f>F335</f>
        <v>771584</v>
      </c>
      <c r="G334" s="39">
        <f>G335</f>
        <v>755819</v>
      </c>
      <c r="H334" s="39">
        <f>H335</f>
        <v>822415</v>
      </c>
      <c r="I334" s="39">
        <f t="shared" ref="I334:Q334" si="275">I335</f>
        <v>0</v>
      </c>
      <c r="J334" s="39">
        <f t="shared" si="275"/>
        <v>771584</v>
      </c>
      <c r="K334" s="39">
        <f t="shared" si="275"/>
        <v>0</v>
      </c>
      <c r="L334" s="39">
        <f t="shared" si="275"/>
        <v>771584</v>
      </c>
      <c r="M334" s="39"/>
      <c r="N334" s="39">
        <f t="shared" si="275"/>
        <v>0</v>
      </c>
      <c r="O334" s="39">
        <f t="shared" si="275"/>
        <v>771584</v>
      </c>
      <c r="P334" s="39">
        <f t="shared" si="275"/>
        <v>-15193.74</v>
      </c>
      <c r="Q334" s="39">
        <f t="shared" si="275"/>
        <v>756390.26</v>
      </c>
    </row>
    <row r="335" spans="1:32" ht="36.75" x14ac:dyDescent="0.25">
      <c r="A335" s="41" t="s">
        <v>23</v>
      </c>
      <c r="B335" s="37" t="s">
        <v>13</v>
      </c>
      <c r="C335" s="34" t="s">
        <v>207</v>
      </c>
      <c r="D335" s="34" t="s">
        <v>219</v>
      </c>
      <c r="E335" s="34" t="s">
        <v>24</v>
      </c>
      <c r="F335" s="39">
        <f>(27787+471956+163869+55569+6000+27539-5000-5000)*0.95+66000</f>
        <v>771584</v>
      </c>
      <c r="G335" s="39">
        <f>29843+517749+126082+59347+3222+29577-5000-1-5000</f>
        <v>755819</v>
      </c>
      <c r="H335" s="39">
        <f>31932+567394+134908+63086+3448+31647-10000</f>
        <v>822415</v>
      </c>
      <c r="I335" s="39"/>
      <c r="J335" s="39">
        <v>771584</v>
      </c>
      <c r="K335" s="39"/>
      <c r="L335" s="39">
        <v>771584</v>
      </c>
      <c r="M335" s="39"/>
      <c r="N335" s="39"/>
      <c r="O335" s="39">
        <v>771584</v>
      </c>
      <c r="P335" s="39">
        <v>-15193.74</v>
      </c>
      <c r="Q335" s="39">
        <f>O335+P335</f>
        <v>756390.26</v>
      </c>
    </row>
    <row r="336" spans="1:32" x14ac:dyDescent="0.25">
      <c r="A336" s="41" t="s">
        <v>25</v>
      </c>
      <c r="B336" s="37" t="s">
        <v>13</v>
      </c>
      <c r="C336" s="34" t="s">
        <v>207</v>
      </c>
      <c r="D336" s="34" t="s">
        <v>219</v>
      </c>
      <c r="E336" s="34" t="s">
        <v>26</v>
      </c>
      <c r="F336" s="39">
        <f>F337</f>
        <v>10000</v>
      </c>
      <c r="G336" s="39">
        <f>G337</f>
        <v>10000</v>
      </c>
      <c r="H336" s="39">
        <f>H337</f>
        <v>10000</v>
      </c>
      <c r="I336" s="39">
        <f t="shared" ref="I336:Q336" si="276">I337</f>
        <v>0</v>
      </c>
      <c r="J336" s="39">
        <f t="shared" si="276"/>
        <v>10000</v>
      </c>
      <c r="K336" s="39">
        <f t="shared" si="276"/>
        <v>0</v>
      </c>
      <c r="L336" s="39">
        <f t="shared" si="276"/>
        <v>10000</v>
      </c>
      <c r="M336" s="39"/>
      <c r="N336" s="39">
        <f t="shared" si="276"/>
        <v>0</v>
      </c>
      <c r="O336" s="39">
        <f t="shared" si="276"/>
        <v>10000</v>
      </c>
      <c r="P336" s="39">
        <f t="shared" si="276"/>
        <v>-4125</v>
      </c>
      <c r="Q336" s="39">
        <f t="shared" si="276"/>
        <v>5875</v>
      </c>
    </row>
    <row r="337" spans="1:18" x14ac:dyDescent="0.25">
      <c r="A337" s="41" t="s">
        <v>194</v>
      </c>
      <c r="B337" s="37" t="s">
        <v>13</v>
      </c>
      <c r="C337" s="34" t="s">
        <v>207</v>
      </c>
      <c r="D337" s="34" t="s">
        <v>219</v>
      </c>
      <c r="E337" s="34" t="s">
        <v>195</v>
      </c>
      <c r="F337" s="39">
        <v>10000</v>
      </c>
      <c r="G337" s="39">
        <v>10000</v>
      </c>
      <c r="H337" s="39">
        <v>10000</v>
      </c>
      <c r="I337" s="39">
        <f t="shared" ref="I337" si="277">+J337-F337</f>
        <v>0</v>
      </c>
      <c r="J337" s="39">
        <v>10000</v>
      </c>
      <c r="K337" s="39">
        <f t="shared" ref="K337" si="278">+L337-H337</f>
        <v>0</v>
      </c>
      <c r="L337" s="39">
        <v>10000</v>
      </c>
      <c r="M337" s="39"/>
      <c r="N337" s="39"/>
      <c r="O337" s="39">
        <v>10000</v>
      </c>
      <c r="P337" s="39">
        <v>-4125</v>
      </c>
      <c r="Q337" s="39">
        <f>O337+P337</f>
        <v>5875</v>
      </c>
    </row>
    <row r="338" spans="1:18" ht="24.75" x14ac:dyDescent="0.25">
      <c r="A338" s="36" t="s">
        <v>220</v>
      </c>
      <c r="B338" s="37" t="s">
        <v>13</v>
      </c>
      <c r="C338" s="34" t="s">
        <v>207</v>
      </c>
      <c r="D338" s="34" t="s">
        <v>221</v>
      </c>
      <c r="E338" s="34"/>
      <c r="F338" s="39">
        <f t="shared" ref="F338:Q339" si="279">F339</f>
        <v>719710</v>
      </c>
      <c r="G338" s="39">
        <f t="shared" si="279"/>
        <v>989000</v>
      </c>
      <c r="H338" s="39">
        <f t="shared" si="279"/>
        <v>1090000</v>
      </c>
      <c r="I338" s="39">
        <f t="shared" si="279"/>
        <v>0</v>
      </c>
      <c r="J338" s="39">
        <f t="shared" si="279"/>
        <v>719710</v>
      </c>
      <c r="K338" s="39">
        <f t="shared" si="279"/>
        <v>0</v>
      </c>
      <c r="L338" s="39">
        <f t="shared" si="279"/>
        <v>719710</v>
      </c>
      <c r="M338" s="39"/>
      <c r="N338" s="39">
        <f t="shared" si="279"/>
        <v>140000</v>
      </c>
      <c r="O338" s="39">
        <f t="shared" si="279"/>
        <v>859710</v>
      </c>
      <c r="P338" s="39">
        <f t="shared" si="279"/>
        <v>139725.65</v>
      </c>
      <c r="Q338" s="39">
        <f t="shared" si="279"/>
        <v>999435.65</v>
      </c>
      <c r="R338" s="161"/>
    </row>
    <row r="339" spans="1:18" ht="24.75" x14ac:dyDescent="0.25">
      <c r="A339" s="41" t="s">
        <v>44</v>
      </c>
      <c r="B339" s="37" t="s">
        <v>13</v>
      </c>
      <c r="C339" s="34" t="s">
        <v>207</v>
      </c>
      <c r="D339" s="34" t="s">
        <v>221</v>
      </c>
      <c r="E339" s="34" t="s">
        <v>74</v>
      </c>
      <c r="F339" s="39">
        <f t="shared" si="279"/>
        <v>719710</v>
      </c>
      <c r="G339" s="39">
        <f t="shared" si="279"/>
        <v>989000</v>
      </c>
      <c r="H339" s="39">
        <f t="shared" si="279"/>
        <v>1090000</v>
      </c>
      <c r="I339" s="39">
        <f t="shared" si="279"/>
        <v>0</v>
      </c>
      <c r="J339" s="39">
        <f t="shared" si="279"/>
        <v>719710</v>
      </c>
      <c r="K339" s="39">
        <f t="shared" si="279"/>
        <v>0</v>
      </c>
      <c r="L339" s="39">
        <f t="shared" si="279"/>
        <v>719710</v>
      </c>
      <c r="M339" s="39"/>
      <c r="N339" s="39">
        <f t="shared" si="279"/>
        <v>140000</v>
      </c>
      <c r="O339" s="39">
        <f t="shared" si="279"/>
        <v>859710</v>
      </c>
      <c r="P339" s="39">
        <f t="shared" si="279"/>
        <v>139725.65</v>
      </c>
      <c r="Q339" s="39">
        <f t="shared" si="279"/>
        <v>999435.65</v>
      </c>
    </row>
    <row r="340" spans="1:18" ht="36.75" x14ac:dyDescent="0.25">
      <c r="A340" s="41" t="s">
        <v>23</v>
      </c>
      <c r="B340" s="37" t="s">
        <v>13</v>
      </c>
      <c r="C340" s="34" t="s">
        <v>207</v>
      </c>
      <c r="D340" s="34" t="s">
        <v>221</v>
      </c>
      <c r="E340" s="34" t="s">
        <v>24</v>
      </c>
      <c r="F340" s="39">
        <f>921800*0.95-156000</f>
        <v>719710</v>
      </c>
      <c r="G340" s="39">
        <v>989000</v>
      </c>
      <c r="H340" s="39">
        <v>1090000</v>
      </c>
      <c r="I340" s="39">
        <f t="shared" ref="I340" si="280">+J340-F340</f>
        <v>0</v>
      </c>
      <c r="J340" s="39">
        <v>719710</v>
      </c>
      <c r="K340" s="39"/>
      <c r="L340" s="39">
        <v>719710</v>
      </c>
      <c r="M340" s="39"/>
      <c r="N340" s="39">
        <v>140000</v>
      </c>
      <c r="O340" s="39">
        <f>L340+N340</f>
        <v>859710</v>
      </c>
      <c r="P340" s="39">
        <f>159893.44-20167.79</f>
        <v>139725.65</v>
      </c>
      <c r="Q340" s="39">
        <f>O340+P340</f>
        <v>999435.65</v>
      </c>
    </row>
    <row r="341" spans="1:18" ht="24.75" x14ac:dyDescent="0.25">
      <c r="A341" s="42" t="s">
        <v>222</v>
      </c>
      <c r="B341" s="37" t="s">
        <v>13</v>
      </c>
      <c r="C341" s="34" t="s">
        <v>207</v>
      </c>
      <c r="D341" s="34" t="s">
        <v>223</v>
      </c>
      <c r="E341" s="34"/>
      <c r="F341" s="39">
        <f t="shared" ref="F341:Q342" si="281">F342</f>
        <v>596000</v>
      </c>
      <c r="G341" s="39">
        <f t="shared" si="281"/>
        <v>661000</v>
      </c>
      <c r="H341" s="39">
        <f t="shared" si="281"/>
        <v>560000</v>
      </c>
      <c r="I341" s="39">
        <f t="shared" si="281"/>
        <v>-144636</v>
      </c>
      <c r="J341" s="39">
        <f t="shared" si="281"/>
        <v>451364</v>
      </c>
      <c r="K341" s="39">
        <f t="shared" si="281"/>
        <v>0</v>
      </c>
      <c r="L341" s="39">
        <f t="shared" si="281"/>
        <v>451364</v>
      </c>
      <c r="M341" s="39"/>
      <c r="N341" s="39">
        <f t="shared" si="281"/>
        <v>-140000</v>
      </c>
      <c r="O341" s="39">
        <f t="shared" si="281"/>
        <v>311364</v>
      </c>
      <c r="P341" s="39">
        <f>P342+P344</f>
        <v>-75574.76999999999</v>
      </c>
      <c r="Q341" s="39">
        <f>Q342+Q344</f>
        <v>235789.23</v>
      </c>
      <c r="R341" s="165"/>
    </row>
    <row r="342" spans="1:18" ht="24.75" x14ac:dyDescent="0.25">
      <c r="A342" s="41" t="s">
        <v>44</v>
      </c>
      <c r="B342" s="37" t="s">
        <v>13</v>
      </c>
      <c r="C342" s="34" t="s">
        <v>207</v>
      </c>
      <c r="D342" s="34" t="s">
        <v>223</v>
      </c>
      <c r="E342" s="34" t="s">
        <v>74</v>
      </c>
      <c r="F342" s="39">
        <f t="shared" si="281"/>
        <v>596000</v>
      </c>
      <c r="G342" s="39">
        <f t="shared" si="281"/>
        <v>661000</v>
      </c>
      <c r="H342" s="39">
        <f t="shared" si="281"/>
        <v>560000</v>
      </c>
      <c r="I342" s="39">
        <f t="shared" si="281"/>
        <v>-144636</v>
      </c>
      <c r="J342" s="39">
        <f t="shared" si="281"/>
        <v>451364</v>
      </c>
      <c r="K342" s="39">
        <f t="shared" si="281"/>
        <v>0</v>
      </c>
      <c r="L342" s="39">
        <f t="shared" si="281"/>
        <v>451364</v>
      </c>
      <c r="M342" s="117" t="s">
        <v>282</v>
      </c>
      <c r="N342" s="39">
        <f t="shared" si="281"/>
        <v>-140000</v>
      </c>
      <c r="O342" s="39">
        <f t="shared" si="281"/>
        <v>311364</v>
      </c>
      <c r="P342" s="39">
        <f t="shared" si="281"/>
        <v>-220574.77</v>
      </c>
      <c r="Q342" s="39">
        <f t="shared" si="281"/>
        <v>90789.23000000001</v>
      </c>
    </row>
    <row r="343" spans="1:18" ht="36.75" x14ac:dyDescent="0.25">
      <c r="A343" s="46" t="s">
        <v>23</v>
      </c>
      <c r="B343" s="37" t="s">
        <v>13</v>
      </c>
      <c r="C343" s="34" t="s">
        <v>207</v>
      </c>
      <c r="D343" s="34" t="s">
        <v>223</v>
      </c>
      <c r="E343" s="34" t="s">
        <v>24</v>
      </c>
      <c r="F343" s="39">
        <f>616000-110000+90000</f>
        <v>596000</v>
      </c>
      <c r="G343" s="39">
        <v>661000</v>
      </c>
      <c r="H343" s="39">
        <v>560000</v>
      </c>
      <c r="I343" s="39">
        <f t="shared" ref="I343" si="282">+J343-F343</f>
        <v>-144636</v>
      </c>
      <c r="J343" s="39">
        <f>596000-144636</f>
        <v>451364</v>
      </c>
      <c r="K343" s="39"/>
      <c r="L343" s="39">
        <f>596000-144636</f>
        <v>451364</v>
      </c>
      <c r="M343" s="39"/>
      <c r="N343" s="39">
        <v>-140000</v>
      </c>
      <c r="O343" s="39">
        <f>L343+N343</f>
        <v>311364</v>
      </c>
      <c r="P343" s="39">
        <f>-79798-145000+4223.23</f>
        <v>-220574.77</v>
      </c>
      <c r="Q343" s="39">
        <f>O343+P343</f>
        <v>90789.23000000001</v>
      </c>
    </row>
    <row r="344" spans="1:18" ht="36.75" x14ac:dyDescent="0.25">
      <c r="A344" s="47" t="s">
        <v>132</v>
      </c>
      <c r="B344" s="37" t="s">
        <v>13</v>
      </c>
      <c r="C344" s="34" t="s">
        <v>207</v>
      </c>
      <c r="D344" s="34" t="s">
        <v>223</v>
      </c>
      <c r="E344" s="34" t="s">
        <v>133</v>
      </c>
      <c r="F344" s="39"/>
      <c r="G344" s="39"/>
      <c r="H344" s="39"/>
      <c r="I344" s="39"/>
      <c r="J344" s="39"/>
      <c r="K344" s="39"/>
      <c r="L344" s="39"/>
      <c r="M344" s="39"/>
      <c r="N344" s="39"/>
      <c r="O344" s="39">
        <f>O345</f>
        <v>0</v>
      </c>
      <c r="P344" s="39">
        <f>P345</f>
        <v>145000</v>
      </c>
      <c r="Q344" s="39">
        <f>Q345</f>
        <v>145000</v>
      </c>
    </row>
    <row r="345" spans="1:18" x14ac:dyDescent="0.25">
      <c r="A345" s="42" t="s">
        <v>134</v>
      </c>
      <c r="B345" s="37" t="s">
        <v>13</v>
      </c>
      <c r="C345" s="34" t="s">
        <v>207</v>
      </c>
      <c r="D345" s="34" t="s">
        <v>223</v>
      </c>
      <c r="E345" s="34" t="s">
        <v>135</v>
      </c>
      <c r="F345" s="39"/>
      <c r="G345" s="39"/>
      <c r="H345" s="39"/>
      <c r="I345" s="39"/>
      <c r="J345" s="39"/>
      <c r="K345" s="39"/>
      <c r="L345" s="39"/>
      <c r="M345" s="39"/>
      <c r="N345" s="39"/>
      <c r="O345" s="39"/>
      <c r="P345" s="39">
        <v>145000</v>
      </c>
      <c r="Q345" s="39">
        <f>O345+P345</f>
        <v>145000</v>
      </c>
    </row>
    <row r="346" spans="1:18" ht="24.75" x14ac:dyDescent="0.25">
      <c r="A346" s="36" t="s">
        <v>224</v>
      </c>
      <c r="B346" s="34" t="s">
        <v>13</v>
      </c>
      <c r="C346" s="34" t="s">
        <v>207</v>
      </c>
      <c r="D346" s="34" t="s">
        <v>225</v>
      </c>
      <c r="E346" s="34"/>
      <c r="F346" s="39">
        <f>F349+F351+F347</f>
        <v>160000</v>
      </c>
      <c r="G346" s="39">
        <f>G349+G351+G347</f>
        <v>560000</v>
      </c>
      <c r="H346" s="39">
        <f>H349+H351+H347</f>
        <v>587054</v>
      </c>
      <c r="I346" s="39">
        <f t="shared" ref="I346:J346" si="283">I349+I351+I347</f>
        <v>44921</v>
      </c>
      <c r="J346" s="39">
        <f t="shared" si="283"/>
        <v>204921</v>
      </c>
      <c r="K346" s="39">
        <f t="shared" ref="K346:L346" si="284">K349+K351+K347</f>
        <v>0</v>
      </c>
      <c r="L346" s="39">
        <f t="shared" si="284"/>
        <v>204921</v>
      </c>
      <c r="M346" s="117" t="s">
        <v>274</v>
      </c>
      <c r="N346" s="39">
        <f>N349+N351+N347</f>
        <v>346079</v>
      </c>
      <c r="O346" s="39">
        <f>O349+O351+O347</f>
        <v>551000</v>
      </c>
      <c r="P346" s="39">
        <f>P349+P351+P347</f>
        <v>148570.68</v>
      </c>
      <c r="Q346" s="39">
        <f>Q349+Q351+Q347</f>
        <v>699570.67999999993</v>
      </c>
      <c r="R346" s="159"/>
    </row>
    <row r="347" spans="1:18" ht="60.75" x14ac:dyDescent="0.25">
      <c r="A347" s="41" t="s">
        <v>19</v>
      </c>
      <c r="B347" s="37" t="s">
        <v>13</v>
      </c>
      <c r="C347" s="34" t="s">
        <v>207</v>
      </c>
      <c r="D347" s="34" t="s">
        <v>225</v>
      </c>
      <c r="E347" s="34" t="s">
        <v>20</v>
      </c>
      <c r="F347" s="39">
        <f>F348</f>
        <v>64000</v>
      </c>
      <c r="G347" s="39">
        <f>G348</f>
        <v>179000</v>
      </c>
      <c r="H347" s="39">
        <f>H348</f>
        <v>188000</v>
      </c>
      <c r="I347" s="39">
        <f t="shared" ref="I347:Q347" si="285">I348</f>
        <v>76400</v>
      </c>
      <c r="J347" s="39">
        <f t="shared" si="285"/>
        <v>140400</v>
      </c>
      <c r="K347" s="39">
        <f t="shared" si="285"/>
        <v>0</v>
      </c>
      <c r="L347" s="39">
        <f t="shared" si="285"/>
        <v>140400</v>
      </c>
      <c r="M347" s="186" t="s">
        <v>273</v>
      </c>
      <c r="N347" s="39">
        <f t="shared" si="285"/>
        <v>134528.46</v>
      </c>
      <c r="O347" s="39">
        <f t="shared" si="285"/>
        <v>274928.45999999996</v>
      </c>
      <c r="P347" s="39">
        <f t="shared" si="285"/>
        <v>109021.03999999998</v>
      </c>
      <c r="Q347" s="39">
        <f t="shared" si="285"/>
        <v>383949.49999999994</v>
      </c>
    </row>
    <row r="348" spans="1:18" ht="24.75" x14ac:dyDescent="0.25">
      <c r="A348" s="36" t="s">
        <v>96</v>
      </c>
      <c r="B348" s="37" t="s">
        <v>13</v>
      </c>
      <c r="C348" s="34" t="s">
        <v>207</v>
      </c>
      <c r="D348" s="34" t="s">
        <v>225</v>
      </c>
      <c r="E348" s="34" t="s">
        <v>97</v>
      </c>
      <c r="F348" s="39">
        <v>64000</v>
      </c>
      <c r="G348" s="39">
        <v>179000</v>
      </c>
      <c r="H348" s="39">
        <v>188000</v>
      </c>
      <c r="I348" s="39">
        <f t="shared" ref="I348" si="286">+J348-F348</f>
        <v>76400</v>
      </c>
      <c r="J348" s="39">
        <v>140400</v>
      </c>
      <c r="K348" s="39"/>
      <c r="L348" s="39">
        <v>140400</v>
      </c>
      <c r="M348" s="186"/>
      <c r="N348" s="39">
        <f>102688.68+31839.78</f>
        <v>134528.46</v>
      </c>
      <c r="O348" s="39">
        <f>L348+N348</f>
        <v>274928.45999999996</v>
      </c>
      <c r="P348" s="39">
        <f>-11056.32+121570.68-1493.32</f>
        <v>109021.03999999998</v>
      </c>
      <c r="Q348" s="39">
        <f>O348+P348</f>
        <v>383949.49999999994</v>
      </c>
    </row>
    <row r="349" spans="1:18" ht="24.75" x14ac:dyDescent="0.25">
      <c r="A349" s="41" t="s">
        <v>44</v>
      </c>
      <c r="B349" s="37" t="s">
        <v>13</v>
      </c>
      <c r="C349" s="34" t="s">
        <v>207</v>
      </c>
      <c r="D349" s="34" t="s">
        <v>225</v>
      </c>
      <c r="E349" s="34" t="s">
        <v>74</v>
      </c>
      <c r="F349" s="39">
        <f>F350</f>
        <v>96000</v>
      </c>
      <c r="G349" s="39">
        <f>G350</f>
        <v>269000</v>
      </c>
      <c r="H349" s="39">
        <f>H350</f>
        <v>282054</v>
      </c>
      <c r="I349" s="39">
        <f t="shared" ref="I349:Q349" si="287">I350</f>
        <v>-35079</v>
      </c>
      <c r="J349" s="39">
        <f t="shared" si="287"/>
        <v>60921</v>
      </c>
      <c r="K349" s="39">
        <f t="shared" si="287"/>
        <v>0</v>
      </c>
      <c r="L349" s="39">
        <f t="shared" si="287"/>
        <v>60921</v>
      </c>
      <c r="M349" s="186"/>
      <c r="N349" s="39">
        <f t="shared" si="287"/>
        <v>156450.54</v>
      </c>
      <c r="O349" s="39">
        <f t="shared" si="287"/>
        <v>217371.54</v>
      </c>
      <c r="P349" s="39">
        <f t="shared" si="287"/>
        <v>12549.64</v>
      </c>
      <c r="Q349" s="39">
        <f t="shared" si="287"/>
        <v>229921.18</v>
      </c>
    </row>
    <row r="350" spans="1:18" ht="36.75" x14ac:dyDescent="0.25">
      <c r="A350" s="41" t="s">
        <v>23</v>
      </c>
      <c r="B350" s="37" t="s">
        <v>13</v>
      </c>
      <c r="C350" s="34" t="s">
        <v>207</v>
      </c>
      <c r="D350" s="34" t="s">
        <v>225</v>
      </c>
      <c r="E350" s="34" t="s">
        <v>24</v>
      </c>
      <c r="F350" s="39">
        <v>96000</v>
      </c>
      <c r="G350" s="39">
        <v>269000</v>
      </c>
      <c r="H350" s="39">
        <f>282000+54</f>
        <v>282054</v>
      </c>
      <c r="I350" s="39">
        <f t="shared" ref="I350" si="288">+J350-F350</f>
        <v>-35079</v>
      </c>
      <c r="J350" s="39">
        <f>16000+44921</f>
        <v>60921</v>
      </c>
      <c r="K350" s="39"/>
      <c r="L350" s="39">
        <f>16000+44921</f>
        <v>60921</v>
      </c>
      <c r="M350" s="186"/>
      <c r="N350" s="39">
        <f>-3700+40138.54+76329+35000+8683</f>
        <v>156450.54</v>
      </c>
      <c r="O350" s="39">
        <f>L350+N350</f>
        <v>217371.54</v>
      </c>
      <c r="P350" s="39">
        <f>11056.32+1493.32</f>
        <v>12549.64</v>
      </c>
      <c r="Q350" s="39">
        <f>O350+P350</f>
        <v>229921.18</v>
      </c>
    </row>
    <row r="351" spans="1:18" x14ac:dyDescent="0.25">
      <c r="A351" s="41" t="s">
        <v>25</v>
      </c>
      <c r="B351" s="37" t="s">
        <v>13</v>
      </c>
      <c r="C351" s="34" t="s">
        <v>207</v>
      </c>
      <c r="D351" s="34" t="s">
        <v>225</v>
      </c>
      <c r="E351" s="34" t="s">
        <v>26</v>
      </c>
      <c r="F351" s="39">
        <f>F352</f>
        <v>0</v>
      </c>
      <c r="G351" s="39">
        <f>G352</f>
        <v>112000</v>
      </c>
      <c r="H351" s="39">
        <f>H352</f>
        <v>117000</v>
      </c>
      <c r="I351" s="39">
        <f t="shared" ref="I351:Q351" si="289">I352</f>
        <v>3600</v>
      </c>
      <c r="J351" s="39">
        <f t="shared" si="289"/>
        <v>3600</v>
      </c>
      <c r="K351" s="39">
        <f t="shared" si="289"/>
        <v>0</v>
      </c>
      <c r="L351" s="39">
        <f t="shared" si="289"/>
        <v>3600</v>
      </c>
      <c r="M351" s="186"/>
      <c r="N351" s="39">
        <f t="shared" si="289"/>
        <v>55100</v>
      </c>
      <c r="O351" s="39">
        <f t="shared" si="289"/>
        <v>58700</v>
      </c>
      <c r="P351" s="39">
        <f t="shared" si="289"/>
        <v>27000</v>
      </c>
      <c r="Q351" s="39">
        <f t="shared" si="289"/>
        <v>85700</v>
      </c>
    </row>
    <row r="352" spans="1:18" x14ac:dyDescent="0.25">
      <c r="A352" s="41" t="s">
        <v>194</v>
      </c>
      <c r="B352" s="37" t="s">
        <v>13</v>
      </c>
      <c r="C352" s="34" t="s">
        <v>207</v>
      </c>
      <c r="D352" s="34" t="s">
        <v>225</v>
      </c>
      <c r="E352" s="34" t="s">
        <v>195</v>
      </c>
      <c r="F352" s="39"/>
      <c r="G352" s="39">
        <v>112000</v>
      </c>
      <c r="H352" s="39">
        <v>117000</v>
      </c>
      <c r="I352" s="39">
        <f t="shared" ref="I352:I356" si="290">+J352-F352</f>
        <v>3600</v>
      </c>
      <c r="J352" s="39">
        <v>3600</v>
      </c>
      <c r="K352" s="39"/>
      <c r="L352" s="39">
        <v>3600</v>
      </c>
      <c r="M352" s="186"/>
      <c r="N352" s="39">
        <f>3700+51400</f>
        <v>55100</v>
      </c>
      <c r="O352" s="39">
        <f>L352+N352</f>
        <v>58700</v>
      </c>
      <c r="P352" s="39">
        <v>27000</v>
      </c>
      <c r="Q352" s="39">
        <f>O352+P352</f>
        <v>85700</v>
      </c>
    </row>
    <row r="353" spans="1:34" ht="36" x14ac:dyDescent="0.25">
      <c r="A353" s="133" t="s">
        <v>157</v>
      </c>
      <c r="B353" s="37" t="s">
        <v>13</v>
      </c>
      <c r="C353" s="34" t="s">
        <v>207</v>
      </c>
      <c r="D353" s="35">
        <v>4600000</v>
      </c>
      <c r="E353" s="35"/>
      <c r="F353" s="39"/>
      <c r="G353" s="39">
        <f t="shared" ref="G353:H355" si="291">G354</f>
        <v>714000</v>
      </c>
      <c r="H353" s="39">
        <f t="shared" si="291"/>
        <v>714000</v>
      </c>
      <c r="I353" s="39">
        <f t="shared" si="290"/>
        <v>100000</v>
      </c>
      <c r="J353" s="39">
        <f>+J354</f>
        <v>100000</v>
      </c>
      <c r="K353" s="39">
        <f>K354</f>
        <v>0</v>
      </c>
      <c r="L353" s="39">
        <f>+L354</f>
        <v>100000</v>
      </c>
      <c r="M353" s="39"/>
      <c r="N353" s="39">
        <f>N354</f>
        <v>0</v>
      </c>
      <c r="O353" s="39">
        <f>+O354</f>
        <v>100000</v>
      </c>
      <c r="P353" s="39">
        <f>P354</f>
        <v>0</v>
      </c>
      <c r="Q353" s="39">
        <f>+Q354</f>
        <v>100000</v>
      </c>
      <c r="S353" s="9"/>
      <c r="W353" s="9"/>
      <c r="AA353" s="9"/>
      <c r="AD353" s="9">
        <f>Q353</f>
        <v>100000</v>
      </c>
    </row>
    <row r="354" spans="1:34" ht="24.75" x14ac:dyDescent="0.25">
      <c r="A354" s="36" t="s">
        <v>158</v>
      </c>
      <c r="B354" s="37" t="s">
        <v>13</v>
      </c>
      <c r="C354" s="34" t="s">
        <v>207</v>
      </c>
      <c r="D354" s="35">
        <v>4604601</v>
      </c>
      <c r="E354" s="34"/>
      <c r="F354" s="39"/>
      <c r="G354" s="39">
        <f t="shared" si="291"/>
        <v>714000</v>
      </c>
      <c r="H354" s="39">
        <f t="shared" si="291"/>
        <v>714000</v>
      </c>
      <c r="I354" s="39">
        <f t="shared" si="290"/>
        <v>100000</v>
      </c>
      <c r="J354" s="39">
        <f>+J355</f>
        <v>100000</v>
      </c>
      <c r="K354" s="39">
        <f>K355</f>
        <v>0</v>
      </c>
      <c r="L354" s="39">
        <f>+L355</f>
        <v>100000</v>
      </c>
      <c r="M354" s="39"/>
      <c r="N354" s="39">
        <f>N355</f>
        <v>0</v>
      </c>
      <c r="O354" s="39">
        <f>+O355</f>
        <v>100000</v>
      </c>
      <c r="P354" s="39">
        <f>P355</f>
        <v>0</v>
      </c>
      <c r="Q354" s="39">
        <f>+Q355</f>
        <v>100000</v>
      </c>
    </row>
    <row r="355" spans="1:34" ht="24.75" x14ac:dyDescent="0.25">
      <c r="A355" s="41" t="s">
        <v>44</v>
      </c>
      <c r="B355" s="37" t="s">
        <v>13</v>
      </c>
      <c r="C355" s="34" t="s">
        <v>207</v>
      </c>
      <c r="D355" s="35">
        <v>4604601</v>
      </c>
      <c r="E355" s="34" t="s">
        <v>74</v>
      </c>
      <c r="F355" s="39"/>
      <c r="G355" s="39">
        <f t="shared" si="291"/>
        <v>714000</v>
      </c>
      <c r="H355" s="39">
        <f t="shared" si="291"/>
        <v>714000</v>
      </c>
      <c r="I355" s="39">
        <f t="shared" si="290"/>
        <v>100000</v>
      </c>
      <c r="J355" s="39">
        <f>+J356</f>
        <v>100000</v>
      </c>
      <c r="K355" s="39">
        <f>K356</f>
        <v>0</v>
      </c>
      <c r="L355" s="39">
        <f>+L356</f>
        <v>100000</v>
      </c>
      <c r="M355" s="39"/>
      <c r="N355" s="39">
        <f>N356</f>
        <v>0</v>
      </c>
      <c r="O355" s="39">
        <f>+O356</f>
        <v>100000</v>
      </c>
      <c r="P355" s="39">
        <f>P356</f>
        <v>0</v>
      </c>
      <c r="Q355" s="39">
        <f>+Q356</f>
        <v>100000</v>
      </c>
    </row>
    <row r="356" spans="1:34" ht="36.75" x14ac:dyDescent="0.25">
      <c r="A356" s="41" t="s">
        <v>23</v>
      </c>
      <c r="B356" s="37" t="s">
        <v>13</v>
      </c>
      <c r="C356" s="34" t="s">
        <v>207</v>
      </c>
      <c r="D356" s="35">
        <v>4604601</v>
      </c>
      <c r="E356" s="34" t="s">
        <v>24</v>
      </c>
      <c r="F356" s="39"/>
      <c r="G356" s="39">
        <v>714000</v>
      </c>
      <c r="H356" s="39">
        <v>714000</v>
      </c>
      <c r="I356" s="39">
        <f t="shared" si="290"/>
        <v>100000</v>
      </c>
      <c r="J356" s="39">
        <v>100000</v>
      </c>
      <c r="K356" s="39"/>
      <c r="L356" s="39">
        <v>100000</v>
      </c>
      <c r="M356" s="39"/>
      <c r="N356" s="39"/>
      <c r="O356" s="39">
        <v>100000</v>
      </c>
      <c r="P356" s="39"/>
      <c r="Q356" s="39">
        <f>O356+P356</f>
        <v>100000</v>
      </c>
    </row>
    <row r="357" spans="1:34" ht="24" x14ac:dyDescent="0.25">
      <c r="A357" s="137" t="s">
        <v>178</v>
      </c>
      <c r="B357" s="37" t="s">
        <v>13</v>
      </c>
      <c r="C357" s="34" t="s">
        <v>207</v>
      </c>
      <c r="D357" s="35">
        <v>4500000</v>
      </c>
      <c r="E357" s="34"/>
      <c r="F357" s="39"/>
      <c r="G357" s="39"/>
      <c r="H357" s="39"/>
      <c r="I357" s="39"/>
      <c r="J357" s="39"/>
      <c r="K357" s="39"/>
      <c r="L357" s="39"/>
      <c r="M357" s="39"/>
      <c r="N357" s="39">
        <f>N359</f>
        <v>46000</v>
      </c>
      <c r="O357" s="39">
        <f>O359</f>
        <v>46000</v>
      </c>
      <c r="P357" s="39">
        <f>P359</f>
        <v>0</v>
      </c>
      <c r="Q357" s="39">
        <f>Q359</f>
        <v>46000</v>
      </c>
      <c r="R357" s="161"/>
      <c r="AH357" s="9">
        <f>Q357</f>
        <v>46000</v>
      </c>
    </row>
    <row r="358" spans="1:34" ht="24" x14ac:dyDescent="0.25">
      <c r="A358" s="80" t="s">
        <v>180</v>
      </c>
      <c r="B358" s="37" t="s">
        <v>13</v>
      </c>
      <c r="C358" s="34" t="s">
        <v>207</v>
      </c>
      <c r="D358" s="35">
        <v>4504501</v>
      </c>
      <c r="E358" s="34"/>
      <c r="F358" s="39"/>
      <c r="G358" s="39"/>
      <c r="H358" s="39"/>
      <c r="I358" s="39"/>
      <c r="J358" s="39"/>
      <c r="K358" s="39"/>
      <c r="L358" s="39"/>
      <c r="M358" s="39"/>
      <c r="N358" s="39">
        <f t="shared" ref="N358:Q359" si="292">N359</f>
        <v>46000</v>
      </c>
      <c r="O358" s="39">
        <f t="shared" si="292"/>
        <v>46000</v>
      </c>
      <c r="P358" s="39">
        <f t="shared" si="292"/>
        <v>0</v>
      </c>
      <c r="Q358" s="39">
        <f t="shared" si="292"/>
        <v>46000</v>
      </c>
    </row>
    <row r="359" spans="1:34" ht="24.75" x14ac:dyDescent="0.25">
      <c r="A359" s="41" t="s">
        <v>44</v>
      </c>
      <c r="B359" s="37" t="s">
        <v>13</v>
      </c>
      <c r="C359" s="34" t="s">
        <v>207</v>
      </c>
      <c r="D359" s="35">
        <v>4504501</v>
      </c>
      <c r="E359" s="34" t="s">
        <v>74</v>
      </c>
      <c r="F359" s="39"/>
      <c r="G359" s="39"/>
      <c r="H359" s="39"/>
      <c r="I359" s="39"/>
      <c r="J359" s="39"/>
      <c r="K359" s="39"/>
      <c r="L359" s="39"/>
      <c r="M359" s="39"/>
      <c r="N359" s="39">
        <f t="shared" si="292"/>
        <v>46000</v>
      </c>
      <c r="O359" s="39">
        <f t="shared" si="292"/>
        <v>46000</v>
      </c>
      <c r="P359" s="39">
        <f t="shared" si="292"/>
        <v>0</v>
      </c>
      <c r="Q359" s="39">
        <f t="shared" si="292"/>
        <v>46000</v>
      </c>
    </row>
    <row r="360" spans="1:34" ht="36.75" x14ac:dyDescent="0.25">
      <c r="A360" s="41" t="s">
        <v>23</v>
      </c>
      <c r="B360" s="37" t="s">
        <v>13</v>
      </c>
      <c r="C360" s="34" t="s">
        <v>207</v>
      </c>
      <c r="D360" s="35">
        <v>4504501</v>
      </c>
      <c r="E360" s="34" t="s">
        <v>24</v>
      </c>
      <c r="F360" s="39"/>
      <c r="G360" s="39"/>
      <c r="H360" s="39"/>
      <c r="I360" s="39"/>
      <c r="J360" s="39"/>
      <c r="K360" s="39"/>
      <c r="L360" s="39"/>
      <c r="M360" s="39"/>
      <c r="N360" s="39">
        <v>46000</v>
      </c>
      <c r="O360" s="39">
        <f>L360+N360</f>
        <v>46000</v>
      </c>
      <c r="P360" s="39"/>
      <c r="Q360" s="39">
        <f>N360+P360</f>
        <v>46000</v>
      </c>
    </row>
    <row r="361" spans="1:34" x14ac:dyDescent="0.25">
      <c r="A361" s="50" t="s">
        <v>159</v>
      </c>
      <c r="B361" s="33" t="s">
        <v>13</v>
      </c>
      <c r="C361" s="29" t="s">
        <v>160</v>
      </c>
      <c r="D361" s="67"/>
      <c r="E361" s="35"/>
      <c r="F361" s="26">
        <f t="shared" ref="F361:Q361" si="293">+F362</f>
        <v>1184813</v>
      </c>
      <c r="G361" s="26" t="e">
        <f t="shared" si="293"/>
        <v>#REF!</v>
      </c>
      <c r="H361" s="26" t="e">
        <f t="shared" si="293"/>
        <v>#REF!</v>
      </c>
      <c r="I361" s="26">
        <f t="shared" si="293"/>
        <v>4405672</v>
      </c>
      <c r="J361" s="26">
        <f t="shared" si="293"/>
        <v>5590485</v>
      </c>
      <c r="K361" s="26">
        <f t="shared" si="293"/>
        <v>2585250</v>
      </c>
      <c r="L361" s="26">
        <f t="shared" si="293"/>
        <v>8175735</v>
      </c>
      <c r="M361" s="26"/>
      <c r="N361" s="26">
        <f t="shared" si="293"/>
        <v>8613518.9800000004</v>
      </c>
      <c r="O361" s="26">
        <f t="shared" si="293"/>
        <v>16789253.98</v>
      </c>
      <c r="P361" s="26">
        <f t="shared" si="293"/>
        <v>2087049.7299999997</v>
      </c>
      <c r="Q361" s="26">
        <f t="shared" si="293"/>
        <v>18876303.210000001</v>
      </c>
      <c r="S361" s="9"/>
    </row>
    <row r="362" spans="1:34" x14ac:dyDescent="0.25">
      <c r="A362" s="40" t="s">
        <v>161</v>
      </c>
      <c r="B362" s="37" t="s">
        <v>13</v>
      </c>
      <c r="C362" s="34" t="s">
        <v>162</v>
      </c>
      <c r="D362" s="35"/>
      <c r="E362" s="35"/>
      <c r="F362" s="39">
        <f>F363+F368+F383</f>
        <v>1184813</v>
      </c>
      <c r="G362" s="39" t="e">
        <f>G363+G368+G383</f>
        <v>#REF!</v>
      </c>
      <c r="H362" s="39" t="e">
        <f>H363+H368+H383</f>
        <v>#REF!</v>
      </c>
      <c r="I362" s="39">
        <f>I363+I368+I383+I390</f>
        <v>4405672</v>
      </c>
      <c r="J362" s="39">
        <f>J363+J368+J383+J390</f>
        <v>5590485</v>
      </c>
      <c r="K362" s="39">
        <f>K363+K368+K383+K390</f>
        <v>2585250</v>
      </c>
      <c r="L362" s="39">
        <f>L363+L368+L383+L390</f>
        <v>8175735</v>
      </c>
      <c r="M362" s="39"/>
      <c r="N362" s="39">
        <f>N363+N368+N383+N390</f>
        <v>8613518.9800000004</v>
      </c>
      <c r="O362" s="39">
        <f>O363+O368+O383+O390</f>
        <v>16789253.98</v>
      </c>
      <c r="P362" s="39">
        <f>P363+P368+P383+P390</f>
        <v>2087049.7299999997</v>
      </c>
      <c r="Q362" s="39">
        <f>Q363+Q368+Q383+Q390</f>
        <v>18876303.210000001</v>
      </c>
      <c r="R362" s="172">
        <f>Q362-O362</f>
        <v>2087049.2300000004</v>
      </c>
    </row>
    <row r="363" spans="1:34" ht="24" x14ac:dyDescent="0.25">
      <c r="A363" s="135" t="s">
        <v>163</v>
      </c>
      <c r="B363" s="37" t="s">
        <v>13</v>
      </c>
      <c r="C363" s="34" t="s">
        <v>162</v>
      </c>
      <c r="D363" s="34" t="s">
        <v>31</v>
      </c>
      <c r="E363" s="35"/>
      <c r="F363" s="39">
        <f t="shared" ref="F363:Q364" si="294">F364</f>
        <v>219813</v>
      </c>
      <c r="G363" s="39">
        <f t="shared" si="294"/>
        <v>323979</v>
      </c>
      <c r="H363" s="39">
        <f t="shared" si="294"/>
        <v>323979</v>
      </c>
      <c r="I363" s="39">
        <f t="shared" si="294"/>
        <v>65350</v>
      </c>
      <c r="J363" s="39">
        <f t="shared" si="294"/>
        <v>285163</v>
      </c>
      <c r="K363" s="39">
        <f t="shared" si="294"/>
        <v>0</v>
      </c>
      <c r="L363" s="39">
        <f t="shared" si="294"/>
        <v>285163</v>
      </c>
      <c r="M363" s="39"/>
      <c r="N363" s="39">
        <f t="shared" si="294"/>
        <v>0</v>
      </c>
      <c r="O363" s="39">
        <f t="shared" si="294"/>
        <v>285163</v>
      </c>
      <c r="P363" s="39">
        <f t="shared" si="294"/>
        <v>177651.9</v>
      </c>
      <c r="Q363" s="39">
        <f t="shared" si="294"/>
        <v>462814.9</v>
      </c>
      <c r="R363" s="144"/>
      <c r="V363" s="9"/>
      <c r="Y363" s="9">
        <f>Q363</f>
        <v>462814.9</v>
      </c>
    </row>
    <row r="364" spans="1:34" ht="24" x14ac:dyDescent="0.25">
      <c r="A364" s="43" t="s">
        <v>164</v>
      </c>
      <c r="B364" s="37" t="s">
        <v>13</v>
      </c>
      <c r="C364" s="34" t="s">
        <v>162</v>
      </c>
      <c r="D364" s="34" t="s">
        <v>165</v>
      </c>
      <c r="E364" s="35"/>
      <c r="F364" s="39">
        <f t="shared" si="294"/>
        <v>219813</v>
      </c>
      <c r="G364" s="39">
        <f t="shared" si="294"/>
        <v>323979</v>
      </c>
      <c r="H364" s="39">
        <f t="shared" si="294"/>
        <v>323979</v>
      </c>
      <c r="I364" s="39">
        <f t="shared" si="294"/>
        <v>65350</v>
      </c>
      <c r="J364" s="39">
        <f>+J366</f>
        <v>285163</v>
      </c>
      <c r="K364" s="39">
        <f t="shared" si="294"/>
        <v>0</v>
      </c>
      <c r="L364" s="39">
        <f>+L366</f>
        <v>285163</v>
      </c>
      <c r="M364" s="39"/>
      <c r="N364" s="39">
        <f t="shared" si="294"/>
        <v>0</v>
      </c>
      <c r="O364" s="39">
        <f>+O366</f>
        <v>285163</v>
      </c>
      <c r="P364" s="39">
        <f t="shared" si="294"/>
        <v>177651.9</v>
      </c>
      <c r="Q364" s="39">
        <f>+Q366</f>
        <v>462814.9</v>
      </c>
    </row>
    <row r="365" spans="1:34" ht="33.75" x14ac:dyDescent="0.25">
      <c r="A365" s="36" t="s">
        <v>166</v>
      </c>
      <c r="B365" s="37" t="s">
        <v>13</v>
      </c>
      <c r="C365" s="34" t="s">
        <v>162</v>
      </c>
      <c r="D365" s="34" t="s">
        <v>165</v>
      </c>
      <c r="E365" s="35">
        <v>300</v>
      </c>
      <c r="F365" s="39">
        <f>F367</f>
        <v>219813</v>
      </c>
      <c r="G365" s="39">
        <f>G367</f>
        <v>323979</v>
      </c>
      <c r="H365" s="39">
        <f>H367</f>
        <v>323979</v>
      </c>
      <c r="I365" s="39">
        <f>+I366+I367</f>
        <v>65350</v>
      </c>
      <c r="J365" s="39">
        <f>+J366+J367</f>
        <v>285163</v>
      </c>
      <c r="K365" s="39">
        <f>+K366+K367</f>
        <v>0</v>
      </c>
      <c r="L365" s="39">
        <f>+L366+L367</f>
        <v>285163</v>
      </c>
      <c r="M365" s="121" t="s">
        <v>283</v>
      </c>
      <c r="N365" s="39">
        <f>+N366+N367</f>
        <v>0</v>
      </c>
      <c r="O365" s="39">
        <f>+O366+O367</f>
        <v>285163</v>
      </c>
      <c r="P365" s="39">
        <f>+P366+P367</f>
        <v>177651.9</v>
      </c>
      <c r="Q365" s="39">
        <f>+Q366+Q367</f>
        <v>462814.9</v>
      </c>
    </row>
    <row r="366" spans="1:34" ht="24.75" x14ac:dyDescent="0.25">
      <c r="A366" s="36" t="s">
        <v>272</v>
      </c>
      <c r="B366" s="37" t="s">
        <v>13</v>
      </c>
      <c r="C366" s="34" t="s">
        <v>162</v>
      </c>
      <c r="D366" s="34" t="s">
        <v>165</v>
      </c>
      <c r="E366" s="35">
        <v>310</v>
      </c>
      <c r="F366" s="39"/>
      <c r="G366" s="39"/>
      <c r="H366" s="39"/>
      <c r="I366" s="39">
        <f t="shared" ref="I366:I367" si="295">+J366-F366</f>
        <v>285163</v>
      </c>
      <c r="J366" s="39">
        <f>18317.75+201495.25+65350</f>
        <v>285163</v>
      </c>
      <c r="K366" s="39"/>
      <c r="L366" s="39">
        <f>18317.75+201495.25+65350</f>
        <v>285163</v>
      </c>
      <c r="M366" s="39"/>
      <c r="N366" s="39"/>
      <c r="O366" s="39">
        <f>18317.75+201495.25+65350</f>
        <v>285163</v>
      </c>
      <c r="P366" s="39">
        <f>170549.68+7102.22</f>
        <v>177651.9</v>
      </c>
      <c r="Q366" s="39">
        <f>O366+P366</f>
        <v>462814.9</v>
      </c>
    </row>
    <row r="367" spans="1:34" ht="24.75" x14ac:dyDescent="0.25">
      <c r="A367" s="36" t="s">
        <v>167</v>
      </c>
      <c r="B367" s="37" t="s">
        <v>13</v>
      </c>
      <c r="C367" s="34" t="s">
        <v>162</v>
      </c>
      <c r="D367" s="34" t="s">
        <v>165</v>
      </c>
      <c r="E367" s="35">
        <v>320</v>
      </c>
      <c r="F367" s="39">
        <f>323979-104166</f>
        <v>219813</v>
      </c>
      <c r="G367" s="39">
        <v>323979</v>
      </c>
      <c r="H367" s="39">
        <v>323979</v>
      </c>
      <c r="I367" s="39">
        <f t="shared" si="295"/>
        <v>-219813</v>
      </c>
      <c r="J367" s="39">
        <v>0</v>
      </c>
      <c r="K367" s="39"/>
      <c r="L367" s="39">
        <v>0</v>
      </c>
      <c r="M367" s="120" t="s">
        <v>273</v>
      </c>
      <c r="N367" s="39"/>
      <c r="O367" s="39">
        <v>0</v>
      </c>
      <c r="P367" s="39"/>
      <c r="Q367" s="39">
        <v>0</v>
      </c>
    </row>
    <row r="368" spans="1:34" ht="22.5" x14ac:dyDescent="0.25">
      <c r="A368" s="136" t="s">
        <v>168</v>
      </c>
      <c r="B368" s="37" t="s">
        <v>13</v>
      </c>
      <c r="C368" s="34" t="s">
        <v>162</v>
      </c>
      <c r="D368" s="34" t="s">
        <v>169</v>
      </c>
      <c r="E368" s="68"/>
      <c r="F368" s="39">
        <f>+F369+F377</f>
        <v>264000</v>
      </c>
      <c r="G368" s="39" t="e">
        <f>+G369+#REF!+G377+#REF!</f>
        <v>#REF!</v>
      </c>
      <c r="H368" s="39" t="e">
        <f>+H369+#REF!+H377+#REF!</f>
        <v>#REF!</v>
      </c>
      <c r="I368" s="39">
        <f t="shared" ref="I368:J368" si="296">+I369+I377</f>
        <v>380000</v>
      </c>
      <c r="J368" s="39">
        <f t="shared" si="296"/>
        <v>644000</v>
      </c>
      <c r="K368" s="39">
        <f t="shared" ref="K368:L368" si="297">+K369+K377</f>
        <v>0</v>
      </c>
      <c r="L368" s="39">
        <f t="shared" si="297"/>
        <v>644000</v>
      </c>
      <c r="M368" s="39"/>
      <c r="N368" s="39">
        <f t="shared" ref="N368" si="298">+N369+N377</f>
        <v>0</v>
      </c>
      <c r="O368" s="39">
        <f>+O369+O377+O380</f>
        <v>644000</v>
      </c>
      <c r="P368" s="39">
        <f>+P369+P377+P380</f>
        <v>1868468.14</v>
      </c>
      <c r="Q368" s="39">
        <f>+Q369+Q377+Q380</f>
        <v>2512467.64</v>
      </c>
      <c r="V368" s="9"/>
      <c r="Z368" s="9"/>
      <c r="AD368" s="9"/>
      <c r="AG368" s="9">
        <f>Q368</f>
        <v>2512467.64</v>
      </c>
    </row>
    <row r="369" spans="1:34" ht="36.75" x14ac:dyDescent="0.25">
      <c r="A369" s="60" t="s">
        <v>170</v>
      </c>
      <c r="B369" s="37" t="s">
        <v>13</v>
      </c>
      <c r="C369" s="34" t="s">
        <v>162</v>
      </c>
      <c r="D369" s="34" t="s">
        <v>171</v>
      </c>
      <c r="E369" s="34"/>
      <c r="F369" s="79">
        <f>+F370+F372</f>
        <v>124000</v>
      </c>
      <c r="G369" s="79">
        <f t="shared" ref="F369:Q370" si="299">G370</f>
        <v>115000</v>
      </c>
      <c r="H369" s="79">
        <f t="shared" si="299"/>
        <v>115000</v>
      </c>
      <c r="I369" s="79">
        <f>+I370+I372+I375</f>
        <v>400000</v>
      </c>
      <c r="J369" s="79">
        <f>+J370+J372+J375</f>
        <v>524000</v>
      </c>
      <c r="K369" s="79">
        <f>+K370+K372+K375</f>
        <v>0</v>
      </c>
      <c r="L369" s="79">
        <f>+L370+L372+L375</f>
        <v>524000</v>
      </c>
      <c r="M369" s="79"/>
      <c r="N369" s="79">
        <f>+N370+N372+N375</f>
        <v>0</v>
      </c>
      <c r="O369" s="79">
        <f>+O370+O372+O375</f>
        <v>524000</v>
      </c>
      <c r="P369" s="79">
        <f>+P370+P372+P375</f>
        <v>5738.7000000000007</v>
      </c>
      <c r="Q369" s="79">
        <f>Q370+Q372+Q375-0.1</f>
        <v>529738.20000000007</v>
      </c>
    </row>
    <row r="370" spans="1:34" ht="24.75" x14ac:dyDescent="0.25">
      <c r="A370" s="41" t="s">
        <v>44</v>
      </c>
      <c r="B370" s="37" t="s">
        <v>13</v>
      </c>
      <c r="C370" s="34" t="s">
        <v>162</v>
      </c>
      <c r="D370" s="34" t="s">
        <v>171</v>
      </c>
      <c r="E370" s="34" t="s">
        <v>74</v>
      </c>
      <c r="F370" s="79">
        <f t="shared" si="299"/>
        <v>44000</v>
      </c>
      <c r="G370" s="79">
        <f t="shared" si="299"/>
        <v>115000</v>
      </c>
      <c r="H370" s="79">
        <f t="shared" si="299"/>
        <v>115000</v>
      </c>
      <c r="I370" s="79">
        <f t="shared" si="299"/>
        <v>0</v>
      </c>
      <c r="J370" s="79">
        <f t="shared" si="299"/>
        <v>44000</v>
      </c>
      <c r="K370" s="79">
        <f t="shared" si="299"/>
        <v>0</v>
      </c>
      <c r="L370" s="79">
        <f t="shared" si="299"/>
        <v>44000</v>
      </c>
      <c r="M370" s="79"/>
      <c r="N370" s="79">
        <f t="shared" si="299"/>
        <v>0</v>
      </c>
      <c r="O370" s="79">
        <f t="shared" si="299"/>
        <v>44000</v>
      </c>
      <c r="P370" s="79">
        <f t="shared" si="299"/>
        <v>-9711.2999999999993</v>
      </c>
      <c r="Q370" s="79">
        <f t="shared" si="299"/>
        <v>34288.699999999997</v>
      </c>
    </row>
    <row r="371" spans="1:34" ht="36.75" x14ac:dyDescent="0.25">
      <c r="A371" s="41" t="s">
        <v>23</v>
      </c>
      <c r="B371" s="37" t="s">
        <v>13</v>
      </c>
      <c r="C371" s="34" t="s">
        <v>162</v>
      </c>
      <c r="D371" s="34" t="s">
        <v>171</v>
      </c>
      <c r="E371" s="34" t="s">
        <v>24</v>
      </c>
      <c r="F371" s="79">
        <v>44000</v>
      </c>
      <c r="G371" s="79">
        <v>115000</v>
      </c>
      <c r="H371" s="79">
        <v>115000</v>
      </c>
      <c r="I371" s="39">
        <f t="shared" ref="I371" si="300">+J371-F371</f>
        <v>0</v>
      </c>
      <c r="J371" s="79">
        <f>104000-60000</f>
        <v>44000</v>
      </c>
      <c r="K371" s="39"/>
      <c r="L371" s="79">
        <f>J371+K371</f>
        <v>44000</v>
      </c>
      <c r="M371" s="79"/>
      <c r="N371" s="39"/>
      <c r="O371" s="79">
        <f>L371+N371</f>
        <v>44000</v>
      </c>
      <c r="P371" s="39">
        <v>-9711.2999999999993</v>
      </c>
      <c r="Q371" s="79">
        <f>O371+P371</f>
        <v>34288.699999999997</v>
      </c>
    </row>
    <row r="372" spans="1:34" ht="24.75" x14ac:dyDescent="0.25">
      <c r="A372" s="36" t="s">
        <v>166</v>
      </c>
      <c r="B372" s="37" t="s">
        <v>13</v>
      </c>
      <c r="C372" s="34" t="s">
        <v>162</v>
      </c>
      <c r="D372" s="34" t="s">
        <v>171</v>
      </c>
      <c r="E372" s="34" t="s">
        <v>172</v>
      </c>
      <c r="F372" s="79">
        <f t="shared" ref="F372:H372" si="301">F373</f>
        <v>80000</v>
      </c>
      <c r="G372" s="79">
        <f t="shared" si="301"/>
        <v>80000</v>
      </c>
      <c r="H372" s="79">
        <f t="shared" si="301"/>
        <v>80000</v>
      </c>
      <c r="I372" s="79">
        <f>I373+I374</f>
        <v>100000</v>
      </c>
      <c r="J372" s="79">
        <f>J373+J374</f>
        <v>180000</v>
      </c>
      <c r="K372" s="79">
        <f>K373+K374</f>
        <v>0</v>
      </c>
      <c r="L372" s="79">
        <f>L373+L374</f>
        <v>180000</v>
      </c>
      <c r="M372" s="115" t="s">
        <v>284</v>
      </c>
      <c r="N372" s="79">
        <f>N373+N374</f>
        <v>0</v>
      </c>
      <c r="O372" s="79">
        <f>O373+O374</f>
        <v>180000</v>
      </c>
      <c r="P372" s="79">
        <f>P374</f>
        <v>15450</v>
      </c>
      <c r="Q372" s="79">
        <f>Q373+Q374</f>
        <v>195449.60000000001</v>
      </c>
    </row>
    <row r="373" spans="1:34" ht="24.75" x14ac:dyDescent="0.25">
      <c r="A373" s="36" t="s">
        <v>167</v>
      </c>
      <c r="B373" s="37" t="s">
        <v>13</v>
      </c>
      <c r="C373" s="34" t="s">
        <v>162</v>
      </c>
      <c r="D373" s="34" t="s">
        <v>171</v>
      </c>
      <c r="E373" s="34" t="s">
        <v>173</v>
      </c>
      <c r="F373" s="79">
        <v>80000</v>
      </c>
      <c r="G373" s="79">
        <v>80000</v>
      </c>
      <c r="H373" s="79">
        <v>80000</v>
      </c>
      <c r="I373" s="39">
        <f>-80000</f>
        <v>-80000</v>
      </c>
      <c r="J373" s="79">
        <f>+F373+I373</f>
        <v>0</v>
      </c>
      <c r="K373" s="39"/>
      <c r="L373" s="79">
        <f>J373+K373</f>
        <v>0</v>
      </c>
      <c r="M373" s="79"/>
      <c r="N373" s="39"/>
      <c r="O373" s="79">
        <f>M373+N373</f>
        <v>0</v>
      </c>
      <c r="P373" s="39"/>
      <c r="Q373" s="79">
        <f>O373+P373</f>
        <v>0</v>
      </c>
    </row>
    <row r="374" spans="1:34" x14ac:dyDescent="0.25">
      <c r="A374" s="36" t="s">
        <v>174</v>
      </c>
      <c r="B374" s="37" t="s">
        <v>13</v>
      </c>
      <c r="C374" s="34" t="s">
        <v>162</v>
      </c>
      <c r="D374" s="34" t="s">
        <v>171</v>
      </c>
      <c r="E374" s="34" t="s">
        <v>175</v>
      </c>
      <c r="F374" s="79"/>
      <c r="G374" s="79"/>
      <c r="H374" s="79"/>
      <c r="I374" s="39">
        <f t="shared" ref="I374:I376" si="302">+J374-F374</f>
        <v>180000</v>
      </c>
      <c r="J374" s="79">
        <f>100000+80000</f>
        <v>180000</v>
      </c>
      <c r="K374" s="39">
        <f>K375</f>
        <v>0</v>
      </c>
      <c r="L374" s="79">
        <f>100000+80000</f>
        <v>180000</v>
      </c>
      <c r="M374" s="79"/>
      <c r="N374" s="39">
        <f>N375</f>
        <v>0</v>
      </c>
      <c r="O374" s="79">
        <f>100000+80000</f>
        <v>180000</v>
      </c>
      <c r="P374" s="39">
        <f>15450</f>
        <v>15450</v>
      </c>
      <c r="Q374" s="79">
        <f>O374+P374-0.4</f>
        <v>195449.60000000001</v>
      </c>
    </row>
    <row r="375" spans="1:34" x14ac:dyDescent="0.25">
      <c r="A375" s="36" t="s">
        <v>267</v>
      </c>
      <c r="B375" s="37" t="s">
        <v>13</v>
      </c>
      <c r="C375" s="34" t="s">
        <v>162</v>
      </c>
      <c r="D375" s="34" t="s">
        <v>171</v>
      </c>
      <c r="E375" s="34" t="s">
        <v>268</v>
      </c>
      <c r="F375" s="79"/>
      <c r="G375" s="79"/>
      <c r="H375" s="79"/>
      <c r="I375" s="39">
        <f t="shared" si="302"/>
        <v>300000</v>
      </c>
      <c r="J375" s="79">
        <f>+J376</f>
        <v>300000</v>
      </c>
      <c r="K375" s="39"/>
      <c r="L375" s="79">
        <f>+L376</f>
        <v>300000</v>
      </c>
      <c r="M375" s="79"/>
      <c r="N375" s="39"/>
      <c r="O375" s="79">
        <f>+O376</f>
        <v>300000</v>
      </c>
      <c r="P375" s="39">
        <f>P376</f>
        <v>0</v>
      </c>
      <c r="Q375" s="79">
        <f>+Q376</f>
        <v>300000</v>
      </c>
    </row>
    <row r="376" spans="1:34" x14ac:dyDescent="0.25">
      <c r="A376" s="36" t="s">
        <v>270</v>
      </c>
      <c r="B376" s="37" t="s">
        <v>13</v>
      </c>
      <c r="C376" s="34" t="s">
        <v>162</v>
      </c>
      <c r="D376" s="34" t="s">
        <v>171</v>
      </c>
      <c r="E376" s="34" t="s">
        <v>269</v>
      </c>
      <c r="F376" s="79"/>
      <c r="G376" s="79"/>
      <c r="H376" s="79"/>
      <c r="I376" s="39">
        <f t="shared" si="302"/>
        <v>300000</v>
      </c>
      <c r="J376" s="79">
        <v>300000</v>
      </c>
      <c r="K376" s="39"/>
      <c r="L376" s="79">
        <v>300000</v>
      </c>
      <c r="M376" s="117" t="s">
        <v>274</v>
      </c>
      <c r="N376" s="39"/>
      <c r="O376" s="79">
        <v>300000</v>
      </c>
      <c r="P376" s="39"/>
      <c r="Q376" s="79">
        <f>O376+P376</f>
        <v>300000</v>
      </c>
    </row>
    <row r="377" spans="1:34" ht="36.75" x14ac:dyDescent="0.25">
      <c r="A377" s="57" t="s">
        <v>176</v>
      </c>
      <c r="B377" s="37" t="s">
        <v>13</v>
      </c>
      <c r="C377" s="34" t="s">
        <v>162</v>
      </c>
      <c r="D377" s="34" t="s">
        <v>177</v>
      </c>
      <c r="E377" s="34"/>
      <c r="F377" s="79">
        <f>F378</f>
        <v>140000</v>
      </c>
      <c r="G377" s="79">
        <f t="shared" ref="F377:Q378" si="303">G378</f>
        <v>40000</v>
      </c>
      <c r="H377" s="79">
        <f t="shared" si="303"/>
        <v>40000</v>
      </c>
      <c r="I377" s="79">
        <f t="shared" si="303"/>
        <v>-20000</v>
      </c>
      <c r="J377" s="79">
        <f t="shared" si="303"/>
        <v>120000</v>
      </c>
      <c r="K377" s="79">
        <f t="shared" si="303"/>
        <v>0</v>
      </c>
      <c r="L377" s="79">
        <f t="shared" si="303"/>
        <v>120000</v>
      </c>
      <c r="M377" s="79"/>
      <c r="N377" s="79">
        <f t="shared" si="303"/>
        <v>0</v>
      </c>
      <c r="O377" s="79">
        <f t="shared" si="303"/>
        <v>120000</v>
      </c>
      <c r="P377" s="79">
        <f t="shared" si="303"/>
        <v>-20350</v>
      </c>
      <c r="Q377" s="79">
        <f t="shared" si="303"/>
        <v>99650</v>
      </c>
    </row>
    <row r="378" spans="1:34" ht="24.75" x14ac:dyDescent="0.25">
      <c r="A378" s="41" t="s">
        <v>44</v>
      </c>
      <c r="B378" s="37" t="s">
        <v>13</v>
      </c>
      <c r="C378" s="34" t="s">
        <v>162</v>
      </c>
      <c r="D378" s="34" t="s">
        <v>177</v>
      </c>
      <c r="E378" s="34" t="s">
        <v>74</v>
      </c>
      <c r="F378" s="79">
        <f t="shared" si="303"/>
        <v>140000</v>
      </c>
      <c r="G378" s="79">
        <f t="shared" si="303"/>
        <v>40000</v>
      </c>
      <c r="H378" s="79">
        <f t="shared" si="303"/>
        <v>40000</v>
      </c>
      <c r="I378" s="79">
        <f t="shared" si="303"/>
        <v>-20000</v>
      </c>
      <c r="J378" s="79">
        <f t="shared" si="303"/>
        <v>120000</v>
      </c>
      <c r="K378" s="79">
        <f t="shared" si="303"/>
        <v>0</v>
      </c>
      <c r="L378" s="79">
        <f t="shared" si="303"/>
        <v>120000</v>
      </c>
      <c r="M378" s="79"/>
      <c r="N378" s="79">
        <f t="shared" si="303"/>
        <v>0</v>
      </c>
      <c r="O378" s="79">
        <f t="shared" si="303"/>
        <v>120000</v>
      </c>
      <c r="P378" s="79">
        <f t="shared" si="303"/>
        <v>-20350</v>
      </c>
      <c r="Q378" s="79">
        <f t="shared" si="303"/>
        <v>99650</v>
      </c>
    </row>
    <row r="379" spans="1:34" ht="36.75" x14ac:dyDescent="0.25">
      <c r="A379" s="46" t="s">
        <v>23</v>
      </c>
      <c r="B379" s="37" t="s">
        <v>13</v>
      </c>
      <c r="C379" s="34" t="s">
        <v>162</v>
      </c>
      <c r="D379" s="34" t="s">
        <v>177</v>
      </c>
      <c r="E379" s="34" t="s">
        <v>24</v>
      </c>
      <c r="F379" s="79">
        <v>140000</v>
      </c>
      <c r="G379" s="79">
        <v>40000</v>
      </c>
      <c r="H379" s="79">
        <v>40000</v>
      </c>
      <c r="I379" s="39">
        <f t="shared" ref="I379" si="304">+J379-F379</f>
        <v>-20000</v>
      </c>
      <c r="J379" s="79">
        <f>60000+60000</f>
        <v>120000</v>
      </c>
      <c r="K379" s="39"/>
      <c r="L379" s="79">
        <f>60000+60000</f>
        <v>120000</v>
      </c>
      <c r="M379" s="79"/>
      <c r="N379" s="39"/>
      <c r="O379" s="79">
        <f>60000+60000</f>
        <v>120000</v>
      </c>
      <c r="P379" s="39">
        <f>-10350-10000</f>
        <v>-20350</v>
      </c>
      <c r="Q379" s="79">
        <f>O379+P379</f>
        <v>99650</v>
      </c>
    </row>
    <row r="380" spans="1:34" ht="24.75" x14ac:dyDescent="0.25">
      <c r="A380" s="47" t="s">
        <v>325</v>
      </c>
      <c r="B380" s="37" t="s">
        <v>13</v>
      </c>
      <c r="C380" s="34" t="s">
        <v>162</v>
      </c>
      <c r="D380" s="34" t="s">
        <v>326</v>
      </c>
      <c r="E380" s="34"/>
      <c r="F380" s="79"/>
      <c r="G380" s="79"/>
      <c r="H380" s="79"/>
      <c r="I380" s="39"/>
      <c r="J380" s="79"/>
      <c r="K380" s="39"/>
      <c r="L380" s="79"/>
      <c r="M380" s="79"/>
      <c r="N380" s="39"/>
      <c r="O380" s="79">
        <f t="shared" ref="O380:Q381" si="305">O381</f>
        <v>0</v>
      </c>
      <c r="P380" s="39">
        <f t="shared" si="305"/>
        <v>1883079.44</v>
      </c>
      <c r="Q380" s="79">
        <f t="shared" si="305"/>
        <v>1883079.44</v>
      </c>
    </row>
    <row r="381" spans="1:34" ht="24.75" x14ac:dyDescent="0.25">
      <c r="A381" s="36" t="s">
        <v>166</v>
      </c>
      <c r="B381" s="37" t="s">
        <v>13</v>
      </c>
      <c r="C381" s="34" t="s">
        <v>162</v>
      </c>
      <c r="D381" s="34" t="s">
        <v>326</v>
      </c>
      <c r="E381" s="34" t="s">
        <v>172</v>
      </c>
      <c r="F381" s="79"/>
      <c r="G381" s="79"/>
      <c r="H381" s="79"/>
      <c r="I381" s="39"/>
      <c r="J381" s="79"/>
      <c r="K381" s="39"/>
      <c r="L381" s="79"/>
      <c r="M381" s="79"/>
      <c r="N381" s="39"/>
      <c r="O381" s="79">
        <f t="shared" si="305"/>
        <v>0</v>
      </c>
      <c r="P381" s="39">
        <f t="shared" si="305"/>
        <v>1883079.44</v>
      </c>
      <c r="Q381" s="79">
        <f t="shared" si="305"/>
        <v>1883079.44</v>
      </c>
    </row>
    <row r="382" spans="1:34" ht="24.75" x14ac:dyDescent="0.25">
      <c r="A382" s="36" t="s">
        <v>167</v>
      </c>
      <c r="B382" s="37" t="s">
        <v>13</v>
      </c>
      <c r="C382" s="34" t="s">
        <v>162</v>
      </c>
      <c r="D382" s="34" t="s">
        <v>326</v>
      </c>
      <c r="E382" s="34" t="s">
        <v>173</v>
      </c>
      <c r="F382" s="79"/>
      <c r="G382" s="79"/>
      <c r="H382" s="79"/>
      <c r="I382" s="39"/>
      <c r="J382" s="79"/>
      <c r="K382" s="39"/>
      <c r="L382" s="79"/>
      <c r="M382" s="79"/>
      <c r="N382" s="39"/>
      <c r="O382" s="79"/>
      <c r="P382" s="39">
        <f>533589.77+1349489.67</f>
        <v>1883079.44</v>
      </c>
      <c r="Q382" s="79">
        <f>O382+P382</f>
        <v>1883079.44</v>
      </c>
    </row>
    <row r="383" spans="1:34" ht="24" x14ac:dyDescent="0.25">
      <c r="A383" s="137" t="s">
        <v>178</v>
      </c>
      <c r="B383" s="37" t="s">
        <v>13</v>
      </c>
      <c r="C383" s="34" t="s">
        <v>162</v>
      </c>
      <c r="D383" s="34" t="s">
        <v>179</v>
      </c>
      <c r="E383" s="34"/>
      <c r="F383" s="79">
        <f>F384+F387</f>
        <v>701000</v>
      </c>
      <c r="G383" s="79">
        <f>G384+G387</f>
        <v>1023000</v>
      </c>
      <c r="H383" s="79">
        <f>H384+H387</f>
        <v>1023000</v>
      </c>
      <c r="I383" s="79">
        <f t="shared" ref="I383:J383" si="306">I384+I387</f>
        <v>0</v>
      </c>
      <c r="J383" s="79">
        <f t="shared" si="306"/>
        <v>701000</v>
      </c>
      <c r="K383" s="79">
        <f>K384</f>
        <v>0</v>
      </c>
      <c r="L383" s="79">
        <f t="shared" ref="L383" si="307">L384+L387</f>
        <v>701000</v>
      </c>
      <c r="M383" s="79"/>
      <c r="N383" s="79">
        <f>N384</f>
        <v>-46000</v>
      </c>
      <c r="O383" s="79">
        <f t="shared" ref="O383" si="308">O384+O387</f>
        <v>655000</v>
      </c>
      <c r="P383" s="79">
        <f>P384</f>
        <v>40929.69</v>
      </c>
      <c r="Q383" s="79">
        <f t="shared" ref="Q383" si="309">Q384+Q387</f>
        <v>695929.69</v>
      </c>
      <c r="R383" s="161"/>
      <c r="W383" s="9"/>
      <c r="AA383" s="9"/>
      <c r="AE383" s="9"/>
      <c r="AH383" s="9">
        <f>Q383</f>
        <v>695929.69</v>
      </c>
    </row>
    <row r="384" spans="1:34" ht="24" x14ac:dyDescent="0.25">
      <c r="A384" s="80" t="s">
        <v>180</v>
      </c>
      <c r="B384" s="37" t="s">
        <v>13</v>
      </c>
      <c r="C384" s="34" t="s">
        <v>162</v>
      </c>
      <c r="D384" s="34" t="s">
        <v>181</v>
      </c>
      <c r="E384" s="34"/>
      <c r="F384" s="79">
        <f t="shared" ref="F384:Q385" si="310">F385</f>
        <v>701000</v>
      </c>
      <c r="G384" s="79">
        <f t="shared" si="310"/>
        <v>943000</v>
      </c>
      <c r="H384" s="79">
        <f t="shared" si="310"/>
        <v>943000</v>
      </c>
      <c r="I384" s="79">
        <f t="shared" si="310"/>
        <v>0</v>
      </c>
      <c r="J384" s="79">
        <f t="shared" si="310"/>
        <v>701000</v>
      </c>
      <c r="K384" s="79">
        <f t="shared" si="310"/>
        <v>0</v>
      </c>
      <c r="L384" s="79">
        <f t="shared" si="310"/>
        <v>701000</v>
      </c>
      <c r="M384" s="79"/>
      <c r="N384" s="79">
        <f t="shared" si="310"/>
        <v>-46000</v>
      </c>
      <c r="O384" s="79">
        <f t="shared" si="310"/>
        <v>655000</v>
      </c>
      <c r="P384" s="79">
        <f t="shared" si="310"/>
        <v>40929.69</v>
      </c>
      <c r="Q384" s="79">
        <f t="shared" si="310"/>
        <v>695929.69</v>
      </c>
      <c r="W384" s="9"/>
    </row>
    <row r="385" spans="1:35" ht="24.75" x14ac:dyDescent="0.25">
      <c r="A385" s="41" t="s">
        <v>44</v>
      </c>
      <c r="B385" s="37" t="s">
        <v>13</v>
      </c>
      <c r="C385" s="34" t="s">
        <v>162</v>
      </c>
      <c r="D385" s="34" t="s">
        <v>181</v>
      </c>
      <c r="E385" s="34" t="s">
        <v>74</v>
      </c>
      <c r="F385" s="79">
        <f t="shared" si="310"/>
        <v>701000</v>
      </c>
      <c r="G385" s="79">
        <f t="shared" si="310"/>
        <v>943000</v>
      </c>
      <c r="H385" s="79">
        <f t="shared" si="310"/>
        <v>943000</v>
      </c>
      <c r="I385" s="79">
        <f t="shared" si="310"/>
        <v>0</v>
      </c>
      <c r="J385" s="79">
        <f t="shared" si="310"/>
        <v>701000</v>
      </c>
      <c r="K385" s="79">
        <f t="shared" si="310"/>
        <v>0</v>
      </c>
      <c r="L385" s="79">
        <f t="shared" si="310"/>
        <v>701000</v>
      </c>
      <c r="M385" s="79"/>
      <c r="N385" s="79">
        <f t="shared" si="310"/>
        <v>-46000</v>
      </c>
      <c r="O385" s="79">
        <f t="shared" si="310"/>
        <v>655000</v>
      </c>
      <c r="P385" s="79">
        <f t="shared" si="310"/>
        <v>40929.69</v>
      </c>
      <c r="Q385" s="79">
        <f t="shared" si="310"/>
        <v>695929.69</v>
      </c>
      <c r="W385" s="9"/>
    </row>
    <row r="386" spans="1:35" ht="36.75" x14ac:dyDescent="0.25">
      <c r="A386" s="41" t="s">
        <v>23</v>
      </c>
      <c r="B386" s="37" t="s">
        <v>13</v>
      </c>
      <c r="C386" s="34" t="s">
        <v>162</v>
      </c>
      <c r="D386" s="34" t="s">
        <v>181</v>
      </c>
      <c r="E386" s="34" t="s">
        <v>24</v>
      </c>
      <c r="F386" s="79">
        <f>637000+64000</f>
        <v>701000</v>
      </c>
      <c r="G386" s="79">
        <v>943000</v>
      </c>
      <c r="H386" s="79">
        <v>943000</v>
      </c>
      <c r="I386" s="79"/>
      <c r="J386" s="79">
        <v>701000</v>
      </c>
      <c r="K386" s="79"/>
      <c r="L386" s="79">
        <v>701000</v>
      </c>
      <c r="M386" s="79"/>
      <c r="N386" s="79">
        <v>-46000</v>
      </c>
      <c r="O386" s="79">
        <f>L386+N386</f>
        <v>655000</v>
      </c>
      <c r="P386" s="79">
        <v>40929.69</v>
      </c>
      <c r="Q386" s="79">
        <f>O386+P386</f>
        <v>695929.69</v>
      </c>
      <c r="R386" s="144"/>
      <c r="W386" s="9"/>
    </row>
    <row r="387" spans="1:35" ht="24" hidden="1" x14ac:dyDescent="0.25">
      <c r="A387" s="80" t="s">
        <v>255</v>
      </c>
      <c r="B387" s="37" t="s">
        <v>13</v>
      </c>
      <c r="C387" s="34" t="s">
        <v>162</v>
      </c>
      <c r="D387" s="34" t="s">
        <v>256</v>
      </c>
      <c r="E387" s="34"/>
      <c r="F387" s="79">
        <f t="shared" ref="F387:Q388" si="311">F388</f>
        <v>0</v>
      </c>
      <c r="G387" s="79">
        <f t="shared" si="311"/>
        <v>80000</v>
      </c>
      <c r="H387" s="79">
        <f t="shared" si="311"/>
        <v>80000</v>
      </c>
      <c r="I387" s="79">
        <f t="shared" si="311"/>
        <v>0</v>
      </c>
      <c r="J387" s="79">
        <f t="shared" si="311"/>
        <v>0</v>
      </c>
      <c r="K387" s="79">
        <f t="shared" si="311"/>
        <v>-80000</v>
      </c>
      <c r="L387" s="79">
        <f t="shared" si="311"/>
        <v>0</v>
      </c>
      <c r="M387" s="79"/>
      <c r="N387" s="79">
        <f t="shared" si="311"/>
        <v>80000</v>
      </c>
      <c r="O387" s="79">
        <f t="shared" si="311"/>
        <v>0</v>
      </c>
      <c r="P387" s="79">
        <f t="shared" si="311"/>
        <v>0</v>
      </c>
      <c r="Q387" s="79">
        <f t="shared" si="311"/>
        <v>0</v>
      </c>
      <c r="W387" s="9"/>
    </row>
    <row r="388" spans="1:35" ht="24.75" hidden="1" x14ac:dyDescent="0.25">
      <c r="A388" s="36" t="s">
        <v>166</v>
      </c>
      <c r="B388" s="37" t="s">
        <v>13</v>
      </c>
      <c r="C388" s="34" t="s">
        <v>162</v>
      </c>
      <c r="D388" s="34" t="s">
        <v>256</v>
      </c>
      <c r="E388" s="34" t="s">
        <v>172</v>
      </c>
      <c r="F388" s="79">
        <f t="shared" si="311"/>
        <v>0</v>
      </c>
      <c r="G388" s="79">
        <f t="shared" si="311"/>
        <v>80000</v>
      </c>
      <c r="H388" s="79">
        <f t="shared" si="311"/>
        <v>80000</v>
      </c>
      <c r="I388" s="79">
        <f t="shared" si="311"/>
        <v>0</v>
      </c>
      <c r="J388" s="79">
        <f t="shared" si="311"/>
        <v>0</v>
      </c>
      <c r="K388" s="79">
        <f t="shared" si="311"/>
        <v>-80000</v>
      </c>
      <c r="L388" s="79">
        <f t="shared" si="311"/>
        <v>0</v>
      </c>
      <c r="M388" s="79"/>
      <c r="N388" s="79">
        <f t="shared" si="311"/>
        <v>80000</v>
      </c>
      <c r="O388" s="79">
        <f t="shared" si="311"/>
        <v>0</v>
      </c>
      <c r="P388" s="79">
        <f t="shared" si="311"/>
        <v>0</v>
      </c>
      <c r="Q388" s="79">
        <f t="shared" si="311"/>
        <v>0</v>
      </c>
      <c r="W388" s="9"/>
    </row>
    <row r="389" spans="1:35" ht="24.75" hidden="1" x14ac:dyDescent="0.25">
      <c r="A389" s="36" t="s">
        <v>167</v>
      </c>
      <c r="B389" s="37" t="s">
        <v>13</v>
      </c>
      <c r="C389" s="34" t="s">
        <v>162</v>
      </c>
      <c r="D389" s="34" t="s">
        <v>256</v>
      </c>
      <c r="E389" s="34" t="s">
        <v>173</v>
      </c>
      <c r="F389" s="79">
        <f>64000-64000</f>
        <v>0</v>
      </c>
      <c r="G389" s="79">
        <v>80000</v>
      </c>
      <c r="H389" s="79">
        <v>80000</v>
      </c>
      <c r="I389" s="39">
        <f t="shared" ref="I389" si="312">+J389-F389</f>
        <v>0</v>
      </c>
      <c r="J389" s="79"/>
      <c r="K389" s="39">
        <f t="shared" ref="K389" si="313">+L389-H389</f>
        <v>-80000</v>
      </c>
      <c r="L389" s="79"/>
      <c r="M389" s="79"/>
      <c r="N389" s="39">
        <f t="shared" ref="N389" si="314">+O389-K389</f>
        <v>80000</v>
      </c>
      <c r="O389" s="79"/>
      <c r="P389" s="39">
        <f>+Q389-M389</f>
        <v>0</v>
      </c>
      <c r="Q389" s="79"/>
      <c r="W389" s="9"/>
    </row>
    <row r="390" spans="1:35" ht="24.75" x14ac:dyDescent="0.25">
      <c r="A390" s="32" t="s">
        <v>86</v>
      </c>
      <c r="B390" s="37" t="s">
        <v>13</v>
      </c>
      <c r="C390" s="34" t="s">
        <v>162</v>
      </c>
      <c r="D390" s="29" t="s">
        <v>87</v>
      </c>
      <c r="E390" s="34"/>
      <c r="F390" s="79"/>
      <c r="G390" s="79"/>
      <c r="H390" s="79"/>
      <c r="I390" s="79">
        <f>+J390-F390</f>
        <v>3960322</v>
      </c>
      <c r="J390" s="79">
        <f>+J391</f>
        <v>3960322</v>
      </c>
      <c r="K390" s="79">
        <f>K391</f>
        <v>2585250</v>
      </c>
      <c r="L390" s="79">
        <f>+L391</f>
        <v>6545572</v>
      </c>
      <c r="M390" s="79"/>
      <c r="N390" s="79">
        <f>N391</f>
        <v>8659518.9800000004</v>
      </c>
      <c r="O390" s="79">
        <f>+O391</f>
        <v>15205090.98</v>
      </c>
      <c r="P390" s="79">
        <f>P391</f>
        <v>0</v>
      </c>
      <c r="Q390" s="79">
        <f>+Q391</f>
        <v>15205090.98</v>
      </c>
      <c r="W390" s="9"/>
    </row>
    <row r="391" spans="1:35" ht="60.75" x14ac:dyDescent="0.25">
      <c r="A391" s="59" t="s">
        <v>263</v>
      </c>
      <c r="B391" s="37" t="s">
        <v>13</v>
      </c>
      <c r="C391" s="34" t="s">
        <v>162</v>
      </c>
      <c r="D391" s="52" t="s">
        <v>264</v>
      </c>
      <c r="E391" s="34"/>
      <c r="F391" s="79"/>
      <c r="G391" s="79"/>
      <c r="H391" s="79"/>
      <c r="I391" s="79">
        <f t="shared" ref="I391:I393" si="315">+J391-F391</f>
        <v>3960322</v>
      </c>
      <c r="J391" s="79">
        <f>+J392</f>
        <v>3960322</v>
      </c>
      <c r="K391" s="79">
        <f>K392</f>
        <v>2585250</v>
      </c>
      <c r="L391" s="79">
        <f>+L392</f>
        <v>6545572</v>
      </c>
      <c r="M391" s="79"/>
      <c r="N391" s="79">
        <f>N392</f>
        <v>8659518.9800000004</v>
      </c>
      <c r="O391" s="79">
        <f>+O392</f>
        <v>15205090.98</v>
      </c>
      <c r="P391" s="79">
        <f>P392</f>
        <v>0</v>
      </c>
      <c r="Q391" s="79">
        <f>+Q392</f>
        <v>15205090.98</v>
      </c>
      <c r="R391" s="159"/>
      <c r="W391" s="9"/>
    </row>
    <row r="392" spans="1:35" ht="24.75" x14ac:dyDescent="0.25">
      <c r="A392" s="36" t="s">
        <v>166</v>
      </c>
      <c r="B392" s="37" t="s">
        <v>13</v>
      </c>
      <c r="C392" s="34" t="s">
        <v>162</v>
      </c>
      <c r="D392" s="52" t="s">
        <v>264</v>
      </c>
      <c r="E392" s="34" t="s">
        <v>172</v>
      </c>
      <c r="F392" s="79"/>
      <c r="G392" s="79"/>
      <c r="H392" s="79"/>
      <c r="I392" s="79">
        <f t="shared" si="315"/>
        <v>3960322</v>
      </c>
      <c r="J392" s="79">
        <f>+J393</f>
        <v>3960322</v>
      </c>
      <c r="K392" s="79">
        <f>K393</f>
        <v>2585250</v>
      </c>
      <c r="L392" s="79">
        <f>+L393</f>
        <v>6545572</v>
      </c>
      <c r="M392" s="79"/>
      <c r="N392" s="79">
        <f>N393</f>
        <v>8659518.9800000004</v>
      </c>
      <c r="O392" s="79">
        <f>+O393</f>
        <v>15205090.98</v>
      </c>
      <c r="P392" s="79">
        <f>P393</f>
        <v>0</v>
      </c>
      <c r="Q392" s="79">
        <f>+Q393</f>
        <v>15205090.98</v>
      </c>
      <c r="W392" s="9"/>
    </row>
    <row r="393" spans="1:35" ht="24.75" x14ac:dyDescent="0.25">
      <c r="A393" s="36" t="s">
        <v>167</v>
      </c>
      <c r="B393" s="37" t="s">
        <v>13</v>
      </c>
      <c r="C393" s="34" t="s">
        <v>162</v>
      </c>
      <c r="D393" s="52" t="s">
        <v>264</v>
      </c>
      <c r="E393" s="34" t="s">
        <v>173</v>
      </c>
      <c r="F393" s="79"/>
      <c r="G393" s="79"/>
      <c r="H393" s="79"/>
      <c r="I393" s="79">
        <f t="shared" si="315"/>
        <v>3960322</v>
      </c>
      <c r="J393" s="79">
        <v>3960322</v>
      </c>
      <c r="K393" s="79">
        <v>2585250</v>
      </c>
      <c r="L393" s="79">
        <f>J393+K393</f>
        <v>6545572</v>
      </c>
      <c r="M393" s="117" t="s">
        <v>274</v>
      </c>
      <c r="N393" s="79">
        <f>7267390+1392128.98</f>
        <v>8659518.9800000004</v>
      </c>
      <c r="O393" s="79">
        <f>L393+N393</f>
        <v>15205090.98</v>
      </c>
      <c r="P393" s="79"/>
      <c r="Q393" s="79">
        <f>O393+P393</f>
        <v>15205090.98</v>
      </c>
      <c r="W393" s="9"/>
    </row>
    <row r="394" spans="1:35" x14ac:dyDescent="0.25">
      <c r="A394" s="48" t="s">
        <v>226</v>
      </c>
      <c r="B394" s="33" t="s">
        <v>13</v>
      </c>
      <c r="C394" s="29" t="s">
        <v>227</v>
      </c>
      <c r="D394" s="103"/>
      <c r="E394" s="38"/>
      <c r="F394" s="26">
        <f t="shared" ref="F394:P394" si="316">+F395</f>
        <v>14491477.75</v>
      </c>
      <c r="G394" s="26">
        <f t="shared" si="316"/>
        <v>14324153</v>
      </c>
      <c r="H394" s="26">
        <f t="shared" si="316"/>
        <v>14513717</v>
      </c>
      <c r="I394" s="26">
        <f t="shared" si="316"/>
        <v>0.25</v>
      </c>
      <c r="J394" s="26">
        <f t="shared" si="316"/>
        <v>14491478</v>
      </c>
      <c r="K394" s="26">
        <f t="shared" si="316"/>
        <v>0</v>
      </c>
      <c r="L394" s="26">
        <f t="shared" si="316"/>
        <v>14491478</v>
      </c>
      <c r="M394" s="26"/>
      <c r="N394" s="26">
        <f t="shared" si="316"/>
        <v>250000</v>
      </c>
      <c r="O394" s="26">
        <f>+O395</f>
        <v>14741477.540000001</v>
      </c>
      <c r="P394" s="26">
        <f t="shared" si="316"/>
        <v>-1302158.23</v>
      </c>
      <c r="Q394" s="26">
        <f>+Q395</f>
        <v>13439319.310000001</v>
      </c>
      <c r="R394" s="172">
        <f>Q394-O394</f>
        <v>-1302158.2300000004</v>
      </c>
      <c r="AI394" s="9">
        <f>Q394-Q396</f>
        <v>13191819.310000001</v>
      </c>
    </row>
    <row r="395" spans="1:35" x14ac:dyDescent="0.25">
      <c r="A395" s="99" t="s">
        <v>228</v>
      </c>
      <c r="B395" s="37" t="s">
        <v>13</v>
      </c>
      <c r="C395" s="34" t="s">
        <v>229</v>
      </c>
      <c r="D395" s="67"/>
      <c r="E395" s="35"/>
      <c r="F395" s="39">
        <f t="shared" ref="F395:L395" si="317">F401</f>
        <v>14491477.75</v>
      </c>
      <c r="G395" s="39">
        <f t="shared" si="317"/>
        <v>14324153</v>
      </c>
      <c r="H395" s="39">
        <f t="shared" si="317"/>
        <v>14513717</v>
      </c>
      <c r="I395" s="39">
        <f t="shared" si="317"/>
        <v>0.25</v>
      </c>
      <c r="J395" s="39">
        <f t="shared" si="317"/>
        <v>14491478</v>
      </c>
      <c r="K395" s="39">
        <f t="shared" si="317"/>
        <v>0</v>
      </c>
      <c r="L395" s="39">
        <f t="shared" si="317"/>
        <v>14491478</v>
      </c>
      <c r="M395" s="39"/>
      <c r="N395" s="39">
        <f>N396</f>
        <v>250000</v>
      </c>
      <c r="O395" s="39">
        <f>O401+O396</f>
        <v>14741477.540000001</v>
      </c>
      <c r="P395" s="39">
        <f>P401+P396</f>
        <v>-1302158.23</v>
      </c>
      <c r="Q395" s="39">
        <f>Q401+Q396</f>
        <v>13439319.310000001</v>
      </c>
      <c r="R395" s="144"/>
    </row>
    <row r="396" spans="1:35" x14ac:dyDescent="0.25">
      <c r="A396" s="99" t="s">
        <v>286</v>
      </c>
      <c r="B396" s="86" t="s">
        <v>13</v>
      </c>
      <c r="C396" s="34" t="s">
        <v>229</v>
      </c>
      <c r="D396" s="34" t="s">
        <v>50</v>
      </c>
      <c r="E396" s="34" t="s">
        <v>287</v>
      </c>
      <c r="F396" s="26"/>
      <c r="G396" s="26"/>
      <c r="H396" s="26"/>
      <c r="I396" s="26"/>
      <c r="J396" s="26"/>
      <c r="K396" s="26"/>
      <c r="L396" s="157">
        <f>L399</f>
        <v>0</v>
      </c>
      <c r="M396" s="158"/>
      <c r="N396" s="53">
        <f>N399+N397</f>
        <v>250000</v>
      </c>
      <c r="O396" s="53">
        <f>O397+O399</f>
        <v>250000</v>
      </c>
      <c r="P396" s="53">
        <f>P399+P397</f>
        <v>-2500</v>
      </c>
      <c r="Q396" s="53">
        <f>Q397+Q399</f>
        <v>247500</v>
      </c>
      <c r="R396" s="166"/>
      <c r="T396" s="9">
        <f>Q396</f>
        <v>247500</v>
      </c>
    </row>
    <row r="397" spans="1:35" ht="60.75" x14ac:dyDescent="0.25">
      <c r="A397" s="41" t="s">
        <v>19</v>
      </c>
      <c r="B397" s="86" t="s">
        <v>13</v>
      </c>
      <c r="C397" s="34" t="s">
        <v>229</v>
      </c>
      <c r="D397" s="34" t="s">
        <v>50</v>
      </c>
      <c r="E397" s="34" t="s">
        <v>20</v>
      </c>
      <c r="F397" s="26"/>
      <c r="G397" s="26"/>
      <c r="H397" s="26"/>
      <c r="I397" s="26"/>
      <c r="J397" s="26"/>
      <c r="K397" s="26"/>
      <c r="L397" s="157">
        <f>L398</f>
        <v>0</v>
      </c>
      <c r="M397" s="158"/>
      <c r="N397" s="53">
        <f>N398</f>
        <v>150000</v>
      </c>
      <c r="O397" s="53">
        <f>O398</f>
        <v>150000</v>
      </c>
      <c r="P397" s="53">
        <f>P398</f>
        <v>0</v>
      </c>
      <c r="Q397" s="53">
        <f>Q398</f>
        <v>150000</v>
      </c>
    </row>
    <row r="398" spans="1:35" ht="24.75" x14ac:dyDescent="0.25">
      <c r="A398" s="36" t="s">
        <v>96</v>
      </c>
      <c r="B398" s="86" t="s">
        <v>13</v>
      </c>
      <c r="C398" s="34" t="s">
        <v>229</v>
      </c>
      <c r="D398" s="34" t="s">
        <v>50</v>
      </c>
      <c r="E398" s="34" t="s">
        <v>97</v>
      </c>
      <c r="F398" s="26"/>
      <c r="G398" s="26"/>
      <c r="H398" s="26"/>
      <c r="I398" s="26"/>
      <c r="J398" s="26"/>
      <c r="K398" s="26"/>
      <c r="L398" s="157"/>
      <c r="M398" s="158"/>
      <c r="N398" s="53">
        <v>150000</v>
      </c>
      <c r="O398" s="53">
        <f>L398+N398</f>
        <v>150000</v>
      </c>
      <c r="P398" s="53"/>
      <c r="Q398" s="53">
        <f>N398+P398</f>
        <v>150000</v>
      </c>
    </row>
    <row r="399" spans="1:35" ht="24.75" x14ac:dyDescent="0.25">
      <c r="A399" s="46" t="s">
        <v>44</v>
      </c>
      <c r="B399" s="86" t="s">
        <v>13</v>
      </c>
      <c r="C399" s="34" t="s">
        <v>229</v>
      </c>
      <c r="D399" s="34" t="s">
        <v>50</v>
      </c>
      <c r="E399" s="54">
        <v>200</v>
      </c>
      <c r="F399" s="26"/>
      <c r="G399" s="26"/>
      <c r="H399" s="26"/>
      <c r="I399" s="26"/>
      <c r="J399" s="26"/>
      <c r="K399" s="26"/>
      <c r="L399" s="157">
        <f>L400</f>
        <v>0</v>
      </c>
      <c r="M399" s="157"/>
      <c r="N399" s="39">
        <f>N400</f>
        <v>100000</v>
      </c>
      <c r="O399" s="39">
        <f>O400</f>
        <v>100000</v>
      </c>
      <c r="P399" s="39">
        <f>P400</f>
        <v>-2500</v>
      </c>
      <c r="Q399" s="39">
        <f>Q400</f>
        <v>97500</v>
      </c>
    </row>
    <row r="400" spans="1:35" ht="36.75" x14ac:dyDescent="0.25">
      <c r="A400" s="47" t="s">
        <v>23</v>
      </c>
      <c r="B400" s="86" t="s">
        <v>13</v>
      </c>
      <c r="C400" s="34" t="s">
        <v>229</v>
      </c>
      <c r="D400" s="34" t="s">
        <v>50</v>
      </c>
      <c r="E400" s="54">
        <v>240</v>
      </c>
      <c r="F400" s="26"/>
      <c r="G400" s="26"/>
      <c r="H400" s="26"/>
      <c r="I400" s="26"/>
      <c r="J400" s="26"/>
      <c r="K400" s="26"/>
      <c r="L400" s="157"/>
      <c r="M400" s="157"/>
      <c r="N400" s="39">
        <v>100000</v>
      </c>
      <c r="O400" s="39">
        <f>L400+N400</f>
        <v>100000</v>
      </c>
      <c r="P400" s="39">
        <v>-2500</v>
      </c>
      <c r="Q400" s="39">
        <f>N400+P400</f>
        <v>97500</v>
      </c>
    </row>
    <row r="401" spans="1:32" ht="31.5" x14ac:dyDescent="0.25">
      <c r="A401" s="138" t="s">
        <v>230</v>
      </c>
      <c r="B401" s="37" t="s">
        <v>13</v>
      </c>
      <c r="C401" s="34" t="s">
        <v>229</v>
      </c>
      <c r="D401" s="34" t="s">
        <v>231</v>
      </c>
      <c r="E401" s="34"/>
      <c r="F401" s="39">
        <f>F402+F409+F414+F419</f>
        <v>14491477.75</v>
      </c>
      <c r="G401" s="39">
        <f>G402+G409+G414+G419</f>
        <v>14324153</v>
      </c>
      <c r="H401" s="39">
        <f>H402+H409+H414+H419</f>
        <v>14513717</v>
      </c>
      <c r="I401" s="39">
        <f t="shared" ref="I401:J401" si="318">I402+I409+I414+I419</f>
        <v>0.25</v>
      </c>
      <c r="J401" s="39">
        <f t="shared" si="318"/>
        <v>14491478</v>
      </c>
      <c r="K401" s="39">
        <f t="shared" ref="K401:L401" si="319">K402+K409+K414+K419</f>
        <v>0</v>
      </c>
      <c r="L401" s="39">
        <f t="shared" si="319"/>
        <v>14491478</v>
      </c>
      <c r="M401" s="39"/>
      <c r="N401" s="39">
        <f>N402+N409+N414+N419</f>
        <v>-0.46000000002095476</v>
      </c>
      <c r="O401" s="39">
        <f t="shared" ref="O401" si="320">O402+O409+O414+O419</f>
        <v>14491477.540000001</v>
      </c>
      <c r="P401" s="39">
        <f>P402+P409+P414+P419</f>
        <v>-1299658.23</v>
      </c>
      <c r="Q401" s="39">
        <f t="shared" ref="Q401" si="321">Q402+Q409+Q414+Q419</f>
        <v>13191819.310000001</v>
      </c>
      <c r="X401" s="9"/>
      <c r="AB401" s="9"/>
      <c r="AF401" s="9"/>
    </row>
    <row r="402" spans="1:32" ht="24" x14ac:dyDescent="0.25">
      <c r="A402" s="75" t="s">
        <v>94</v>
      </c>
      <c r="B402" s="37" t="s">
        <v>13</v>
      </c>
      <c r="C402" s="34" t="s">
        <v>229</v>
      </c>
      <c r="D402" s="34" t="s">
        <v>232</v>
      </c>
      <c r="E402" s="34"/>
      <c r="F402" s="39">
        <f>F403+F405+F407</f>
        <v>11255427.75</v>
      </c>
      <c r="G402" s="39">
        <f>G403+G405+G407</f>
        <v>12199153</v>
      </c>
      <c r="H402" s="39">
        <f>H403+H405+H407</f>
        <v>12351402</v>
      </c>
      <c r="I402" s="39">
        <f t="shared" ref="I402:J402" si="322">I403+I405+I407</f>
        <v>0.25</v>
      </c>
      <c r="J402" s="39">
        <f t="shared" si="322"/>
        <v>11255428</v>
      </c>
      <c r="K402" s="39">
        <f t="shared" ref="K402:L402" si="323">K403+K405+K407</f>
        <v>0</v>
      </c>
      <c r="L402" s="39">
        <f t="shared" si="323"/>
        <v>11255428</v>
      </c>
      <c r="M402" s="39"/>
      <c r="N402" s="39">
        <f t="shared" ref="N402:O402" si="324">N403+N405+N407</f>
        <v>250277.84</v>
      </c>
      <c r="O402" s="39">
        <f t="shared" si="324"/>
        <v>11505705.84</v>
      </c>
      <c r="P402" s="39">
        <f t="shared" ref="P402:Q402" si="325">P403+P405+P407</f>
        <v>-168978.55</v>
      </c>
      <c r="Q402" s="39">
        <f t="shared" si="325"/>
        <v>11336727.289999999</v>
      </c>
    </row>
    <row r="403" spans="1:32" ht="60.75" x14ac:dyDescent="0.25">
      <c r="A403" s="41" t="s">
        <v>19</v>
      </c>
      <c r="B403" s="37" t="s">
        <v>13</v>
      </c>
      <c r="C403" s="34" t="s">
        <v>229</v>
      </c>
      <c r="D403" s="34" t="s">
        <v>232</v>
      </c>
      <c r="E403" s="34" t="s">
        <v>20</v>
      </c>
      <c r="F403" s="39">
        <f>F404</f>
        <v>9660963</v>
      </c>
      <c r="G403" s="39">
        <f>G404</f>
        <v>10374571</v>
      </c>
      <c r="H403" s="39">
        <f>H404</f>
        <v>10374571</v>
      </c>
      <c r="I403" s="39">
        <f t="shared" ref="I403:Q403" si="326">I404</f>
        <v>-578570</v>
      </c>
      <c r="J403" s="39">
        <f t="shared" si="326"/>
        <v>9082393</v>
      </c>
      <c r="K403" s="39">
        <f t="shared" si="326"/>
        <v>0</v>
      </c>
      <c r="L403" s="39">
        <f t="shared" si="326"/>
        <v>9082393</v>
      </c>
      <c r="M403" s="39"/>
      <c r="N403" s="39">
        <f t="shared" si="326"/>
        <v>250277.84</v>
      </c>
      <c r="O403" s="39">
        <f t="shared" si="326"/>
        <v>9332670.8399999999</v>
      </c>
      <c r="P403" s="39">
        <f t="shared" si="326"/>
        <v>-66549.899999999994</v>
      </c>
      <c r="Q403" s="39">
        <f t="shared" si="326"/>
        <v>9266120.9399999995</v>
      </c>
    </row>
    <row r="404" spans="1:32" ht="24.75" x14ac:dyDescent="0.25">
      <c r="A404" s="36" t="s">
        <v>96</v>
      </c>
      <c r="B404" s="37" t="s">
        <v>13</v>
      </c>
      <c r="C404" s="34" t="s">
        <v>229</v>
      </c>
      <c r="D404" s="34" t="s">
        <v>232</v>
      </c>
      <c r="E404" s="34" t="s">
        <v>97</v>
      </c>
      <c r="F404" s="39">
        <f>7968180+2406391-463608-250000</f>
        <v>9660963</v>
      </c>
      <c r="G404" s="39">
        <f>7968180+2406391</f>
        <v>10374571</v>
      </c>
      <c r="H404" s="39">
        <f>7968180+2406391</f>
        <v>10374571</v>
      </c>
      <c r="I404" s="39">
        <f>+J404-F404</f>
        <v>-578570</v>
      </c>
      <c r="J404" s="39">
        <v>9082393</v>
      </c>
      <c r="K404" s="39"/>
      <c r="L404" s="39">
        <v>9082393</v>
      </c>
      <c r="M404" s="39"/>
      <c r="N404" s="39">
        <v>250277.84</v>
      </c>
      <c r="O404" s="39">
        <f>L404+N404</f>
        <v>9332670.8399999999</v>
      </c>
      <c r="P404" s="39">
        <v>-66549.899999999994</v>
      </c>
      <c r="Q404" s="39">
        <f>O404+P404</f>
        <v>9266120.9399999995</v>
      </c>
    </row>
    <row r="405" spans="1:32" ht="24.75" x14ac:dyDescent="0.25">
      <c r="A405" s="41" t="s">
        <v>44</v>
      </c>
      <c r="B405" s="37" t="s">
        <v>13</v>
      </c>
      <c r="C405" s="34" t="s">
        <v>229</v>
      </c>
      <c r="D405" s="34" t="s">
        <v>232</v>
      </c>
      <c r="E405" s="34" t="s">
        <v>74</v>
      </c>
      <c r="F405" s="39">
        <f>F406</f>
        <v>1583464.75</v>
      </c>
      <c r="G405" s="39">
        <f>G406</f>
        <v>1813582</v>
      </c>
      <c r="H405" s="39">
        <f>H406</f>
        <v>1965831</v>
      </c>
      <c r="I405" s="39">
        <f t="shared" ref="I405:Q405" si="327">I406</f>
        <v>578570.25</v>
      </c>
      <c r="J405" s="39">
        <f t="shared" si="327"/>
        <v>2162035</v>
      </c>
      <c r="K405" s="39">
        <f t="shared" si="327"/>
        <v>0</v>
      </c>
      <c r="L405" s="39">
        <f t="shared" si="327"/>
        <v>2162035</v>
      </c>
      <c r="M405" s="39"/>
      <c r="N405" s="39">
        <f t="shared" si="327"/>
        <v>0</v>
      </c>
      <c r="O405" s="39">
        <f t="shared" si="327"/>
        <v>2162035</v>
      </c>
      <c r="P405" s="39">
        <f t="shared" si="327"/>
        <v>-100870.41</v>
      </c>
      <c r="Q405" s="39">
        <f t="shared" si="327"/>
        <v>2061164.59</v>
      </c>
    </row>
    <row r="406" spans="1:32" ht="36.75" x14ac:dyDescent="0.25">
      <c r="A406" s="41" t="s">
        <v>23</v>
      </c>
      <c r="B406" s="37" t="s">
        <v>13</v>
      </c>
      <c r="C406" s="34" t="s">
        <v>229</v>
      </c>
      <c r="D406" s="34" t="s">
        <v>232</v>
      </c>
      <c r="E406" s="34" t="s">
        <v>24</v>
      </c>
      <c r="F406" s="39">
        <f>(36510+858257+308988+301500+11000+161550-11000)*0.95</f>
        <v>1583464.75</v>
      </c>
      <c r="G406" s="39">
        <f>39212+943499+331853+324963+11550+173505-11000</f>
        <v>1813582</v>
      </c>
      <c r="H406" s="39">
        <f>41957+1036346+355083+345436+12359+185650-11000</f>
        <v>1965831</v>
      </c>
      <c r="I406" s="39">
        <f t="shared" ref="I406" si="328">+J406-F406</f>
        <v>578570.25</v>
      </c>
      <c r="J406" s="39">
        <v>2162035</v>
      </c>
      <c r="K406" s="39"/>
      <c r="L406" s="39">
        <v>2162035</v>
      </c>
      <c r="M406" s="39"/>
      <c r="N406" s="39"/>
      <c r="O406" s="39">
        <v>2162035</v>
      </c>
      <c r="P406" s="39">
        <v>-100870.41</v>
      </c>
      <c r="Q406" s="39">
        <f>O406+P406</f>
        <v>2061164.59</v>
      </c>
    </row>
    <row r="407" spans="1:32" x14ac:dyDescent="0.25">
      <c r="A407" s="41" t="s">
        <v>25</v>
      </c>
      <c r="B407" s="37" t="s">
        <v>13</v>
      </c>
      <c r="C407" s="34" t="s">
        <v>229</v>
      </c>
      <c r="D407" s="34" t="s">
        <v>232</v>
      </c>
      <c r="E407" s="34" t="s">
        <v>26</v>
      </c>
      <c r="F407" s="39">
        <f>F408</f>
        <v>11000</v>
      </c>
      <c r="G407" s="39">
        <f>G408</f>
        <v>11000</v>
      </c>
      <c r="H407" s="39">
        <f>H408</f>
        <v>11000</v>
      </c>
      <c r="I407" s="39">
        <f t="shared" ref="I407:Q407" si="329">I408</f>
        <v>0</v>
      </c>
      <c r="J407" s="39">
        <f t="shared" si="329"/>
        <v>11000</v>
      </c>
      <c r="K407" s="39">
        <f t="shared" si="329"/>
        <v>0</v>
      </c>
      <c r="L407" s="39">
        <f t="shared" si="329"/>
        <v>11000</v>
      </c>
      <c r="M407" s="39"/>
      <c r="N407" s="39">
        <f t="shared" si="329"/>
        <v>0</v>
      </c>
      <c r="O407" s="39">
        <f t="shared" si="329"/>
        <v>11000</v>
      </c>
      <c r="P407" s="39">
        <f t="shared" si="329"/>
        <v>-1558.24</v>
      </c>
      <c r="Q407" s="39">
        <f t="shared" si="329"/>
        <v>9441.76</v>
      </c>
    </row>
    <row r="408" spans="1:32" x14ac:dyDescent="0.25">
      <c r="A408" s="41" t="s">
        <v>194</v>
      </c>
      <c r="B408" s="37" t="s">
        <v>13</v>
      </c>
      <c r="C408" s="34" t="s">
        <v>229</v>
      </c>
      <c r="D408" s="34" t="s">
        <v>232</v>
      </c>
      <c r="E408" s="34" t="s">
        <v>195</v>
      </c>
      <c r="F408" s="39">
        <v>11000</v>
      </c>
      <c r="G408" s="39">
        <v>11000</v>
      </c>
      <c r="H408" s="39">
        <v>11000</v>
      </c>
      <c r="I408" s="39"/>
      <c r="J408" s="39">
        <v>11000</v>
      </c>
      <c r="K408" s="39"/>
      <c r="L408" s="39">
        <v>11000</v>
      </c>
      <c r="M408" s="39"/>
      <c r="N408" s="39"/>
      <c r="O408" s="39">
        <v>11000</v>
      </c>
      <c r="P408" s="39">
        <v>-1558.24</v>
      </c>
      <c r="Q408" s="39">
        <f>O408+P408</f>
        <v>9441.76</v>
      </c>
    </row>
    <row r="409" spans="1:32" ht="24" x14ac:dyDescent="0.25">
      <c r="A409" s="75" t="s">
        <v>233</v>
      </c>
      <c r="B409" s="37" t="s">
        <v>13</v>
      </c>
      <c r="C409" s="34" t="s">
        <v>229</v>
      </c>
      <c r="D409" s="34" t="s">
        <v>234</v>
      </c>
      <c r="E409" s="34"/>
      <c r="F409" s="39">
        <f>F412</f>
        <v>630000</v>
      </c>
      <c r="G409" s="39">
        <f>G412</f>
        <v>869000</v>
      </c>
      <c r="H409" s="39">
        <f>H412</f>
        <v>838000</v>
      </c>
      <c r="I409" s="39">
        <f>I412+I410</f>
        <v>0</v>
      </c>
      <c r="J409" s="39">
        <f>J412+J411</f>
        <v>630000</v>
      </c>
      <c r="K409" s="39">
        <f>K412+K410</f>
        <v>0</v>
      </c>
      <c r="L409" s="39">
        <f>L412+L411</f>
        <v>630000</v>
      </c>
      <c r="M409" s="39"/>
      <c r="N409" s="39">
        <f>N412+N410</f>
        <v>244391.40000000002</v>
      </c>
      <c r="O409" s="39">
        <f>O412+O411</f>
        <v>874391.4</v>
      </c>
      <c r="P409" s="39">
        <f>P412+P410</f>
        <v>96750.57</v>
      </c>
      <c r="Q409" s="39">
        <f>Q412+Q411</f>
        <v>971141.97</v>
      </c>
      <c r="R409" s="165"/>
    </row>
    <row r="410" spans="1:32" ht="60.75" x14ac:dyDescent="0.25">
      <c r="A410" s="41" t="s">
        <v>19</v>
      </c>
      <c r="B410" s="37" t="s">
        <v>13</v>
      </c>
      <c r="C410" s="34" t="s">
        <v>229</v>
      </c>
      <c r="D410" s="34" t="s">
        <v>234</v>
      </c>
      <c r="E410" s="34" t="s">
        <v>20</v>
      </c>
      <c r="F410" s="39">
        <f>F411</f>
        <v>0</v>
      </c>
      <c r="G410" s="39">
        <f>G411</f>
        <v>10374571</v>
      </c>
      <c r="H410" s="39">
        <f>H411</f>
        <v>10374571</v>
      </c>
      <c r="I410" s="39">
        <f t="shared" ref="I410:Q410" si="330">I411</f>
        <v>307522</v>
      </c>
      <c r="J410" s="39">
        <f t="shared" si="330"/>
        <v>307522</v>
      </c>
      <c r="K410" s="39">
        <f t="shared" si="330"/>
        <v>-21240.41</v>
      </c>
      <c r="L410" s="39">
        <f t="shared" si="330"/>
        <v>307522</v>
      </c>
      <c r="M410" s="186" t="s">
        <v>273</v>
      </c>
      <c r="N410" s="39">
        <f t="shared" si="330"/>
        <v>145845.01</v>
      </c>
      <c r="O410" s="39">
        <f t="shared" si="330"/>
        <v>453367.01</v>
      </c>
      <c r="P410" s="39">
        <f t="shared" si="330"/>
        <v>9137.57</v>
      </c>
      <c r="Q410" s="39">
        <f t="shared" si="330"/>
        <v>462504.58</v>
      </c>
    </row>
    <row r="411" spans="1:32" ht="24.75" x14ac:dyDescent="0.25">
      <c r="A411" s="36" t="s">
        <v>96</v>
      </c>
      <c r="B411" s="37" t="s">
        <v>13</v>
      </c>
      <c r="C411" s="34" t="s">
        <v>229</v>
      </c>
      <c r="D411" s="34" t="s">
        <v>234</v>
      </c>
      <c r="E411" s="34" t="s">
        <v>97</v>
      </c>
      <c r="F411" s="39"/>
      <c r="G411" s="39">
        <f>7968180+2406391</f>
        <v>10374571</v>
      </c>
      <c r="H411" s="39">
        <f>7968180+2406391</f>
        <v>10374571</v>
      </c>
      <c r="I411" s="39">
        <f>+J411-F411</f>
        <v>307522</v>
      </c>
      <c r="J411" s="39">
        <v>307522</v>
      </c>
      <c r="K411" s="39">
        <v>-21240.41</v>
      </c>
      <c r="L411" s="39">
        <v>307522</v>
      </c>
      <c r="M411" s="186"/>
      <c r="N411" s="39">
        <f>1500-21240.39+165585.4</f>
        <v>145845.01</v>
      </c>
      <c r="O411" s="39">
        <f>L411+N411</f>
        <v>453367.01</v>
      </c>
      <c r="P411" s="39">
        <v>9137.57</v>
      </c>
      <c r="Q411" s="39">
        <f>O411+P411</f>
        <v>462504.58</v>
      </c>
    </row>
    <row r="412" spans="1:32" ht="24.75" x14ac:dyDescent="0.25">
      <c r="A412" s="41" t="s">
        <v>44</v>
      </c>
      <c r="B412" s="37" t="s">
        <v>13</v>
      </c>
      <c r="C412" s="34" t="s">
        <v>229</v>
      </c>
      <c r="D412" s="34" t="s">
        <v>234</v>
      </c>
      <c r="E412" s="34" t="s">
        <v>74</v>
      </c>
      <c r="F412" s="39">
        <f t="shared" ref="F412:Q412" si="331">F413</f>
        <v>630000</v>
      </c>
      <c r="G412" s="39">
        <f t="shared" si="331"/>
        <v>869000</v>
      </c>
      <c r="H412" s="39">
        <f t="shared" si="331"/>
        <v>838000</v>
      </c>
      <c r="I412" s="39">
        <f t="shared" si="331"/>
        <v>-307522</v>
      </c>
      <c r="J412" s="39">
        <f t="shared" si="331"/>
        <v>322478</v>
      </c>
      <c r="K412" s="39">
        <f t="shared" si="331"/>
        <v>21240.41</v>
      </c>
      <c r="L412" s="39">
        <f t="shared" si="331"/>
        <v>322478</v>
      </c>
      <c r="M412" s="186"/>
      <c r="N412" s="39">
        <f t="shared" si="331"/>
        <v>98546.39</v>
      </c>
      <c r="O412" s="39">
        <f t="shared" si="331"/>
        <v>421024.39</v>
      </c>
      <c r="P412" s="39">
        <f t="shared" si="331"/>
        <v>87613</v>
      </c>
      <c r="Q412" s="39">
        <f t="shared" si="331"/>
        <v>508637.39</v>
      </c>
      <c r="R412" s="166"/>
    </row>
    <row r="413" spans="1:32" ht="36.75" x14ac:dyDescent="0.25">
      <c r="A413" s="46" t="s">
        <v>23</v>
      </c>
      <c r="B413" s="37" t="s">
        <v>13</v>
      </c>
      <c r="C413" s="34" t="s">
        <v>229</v>
      </c>
      <c r="D413" s="34" t="s">
        <v>234</v>
      </c>
      <c r="E413" s="34" t="s">
        <v>24</v>
      </c>
      <c r="F413" s="39">
        <f>830000-100000-100000</f>
        <v>630000</v>
      </c>
      <c r="G413" s="39">
        <v>869000</v>
      </c>
      <c r="H413" s="39">
        <v>838000</v>
      </c>
      <c r="I413" s="39">
        <f t="shared" ref="I413" si="332">+J413-F413</f>
        <v>-307522</v>
      </c>
      <c r="J413" s="39">
        <v>322478</v>
      </c>
      <c r="K413" s="39">
        <v>21240.41</v>
      </c>
      <c r="L413" s="39">
        <v>322478</v>
      </c>
      <c r="M413" s="186"/>
      <c r="N413" s="39">
        <f>46150-1500+21240.39+32656</f>
        <v>98546.39</v>
      </c>
      <c r="O413" s="39">
        <f>L413+N413</f>
        <v>421024.39</v>
      </c>
      <c r="P413" s="39">
        <f>90313-2700</f>
        <v>87613</v>
      </c>
      <c r="Q413" s="39">
        <f>O413+P413</f>
        <v>508637.39</v>
      </c>
      <c r="R413" s="176"/>
    </row>
    <row r="414" spans="1:32" ht="36.75" x14ac:dyDescent="0.25">
      <c r="A414" s="47" t="s">
        <v>235</v>
      </c>
      <c r="B414" s="37" t="s">
        <v>13</v>
      </c>
      <c r="C414" s="34" t="s">
        <v>229</v>
      </c>
      <c r="D414" s="34" t="s">
        <v>236</v>
      </c>
      <c r="E414" s="34"/>
      <c r="F414" s="39">
        <f>F415+F417</f>
        <v>1858050</v>
      </c>
      <c r="G414" s="39">
        <f>G415+G417</f>
        <v>471000</v>
      </c>
      <c r="H414" s="39">
        <f>H415+H417</f>
        <v>502000</v>
      </c>
      <c r="I414" s="39">
        <f t="shared" ref="I414:J414" si="333">I415+I417</f>
        <v>0</v>
      </c>
      <c r="J414" s="39">
        <f t="shared" si="333"/>
        <v>1858050</v>
      </c>
      <c r="K414" s="39">
        <f t="shared" ref="K414:L414" si="334">K415+K417</f>
        <v>0</v>
      </c>
      <c r="L414" s="39">
        <f t="shared" si="334"/>
        <v>1858050</v>
      </c>
      <c r="M414" s="39"/>
      <c r="N414" s="39">
        <f t="shared" ref="N414:O414" si="335">N415+N417</f>
        <v>-494669.7</v>
      </c>
      <c r="O414" s="39">
        <f t="shared" si="335"/>
        <v>1363380.3</v>
      </c>
      <c r="P414" s="39">
        <f t="shared" ref="P414:Q414" si="336">P415+P417</f>
        <v>-1363380</v>
      </c>
      <c r="Q414" s="39">
        <f t="shared" si="336"/>
        <v>0.30000000004656613</v>
      </c>
      <c r="R414" s="165"/>
    </row>
    <row r="415" spans="1:32" ht="24.75" x14ac:dyDescent="0.25">
      <c r="A415" s="46" t="s">
        <v>44</v>
      </c>
      <c r="B415" s="37" t="s">
        <v>13</v>
      </c>
      <c r="C415" s="34" t="s">
        <v>229</v>
      </c>
      <c r="D415" s="34" t="s">
        <v>236</v>
      </c>
      <c r="E415" s="34" t="s">
        <v>74</v>
      </c>
      <c r="F415" s="39">
        <f>F416</f>
        <v>1858050</v>
      </c>
      <c r="G415" s="39">
        <f>G416</f>
        <v>471000</v>
      </c>
      <c r="H415" s="39">
        <f>H416</f>
        <v>502000</v>
      </c>
      <c r="I415" s="39">
        <f t="shared" ref="I415:Q415" si="337">I416</f>
        <v>0</v>
      </c>
      <c r="J415" s="39">
        <f t="shared" si="337"/>
        <v>1858050</v>
      </c>
      <c r="K415" s="39">
        <f t="shared" si="337"/>
        <v>0</v>
      </c>
      <c r="L415" s="39">
        <f t="shared" si="337"/>
        <v>1858050</v>
      </c>
      <c r="M415" s="39"/>
      <c r="N415" s="39">
        <f t="shared" si="337"/>
        <v>-494669.7</v>
      </c>
      <c r="O415" s="39">
        <f t="shared" si="337"/>
        <v>1363380.3</v>
      </c>
      <c r="P415" s="39">
        <f t="shared" si="337"/>
        <v>-1363380</v>
      </c>
      <c r="Q415" s="39">
        <f t="shared" si="337"/>
        <v>0.30000000004656613</v>
      </c>
      <c r="R415" s="176"/>
    </row>
    <row r="416" spans="1:32" ht="36.75" x14ac:dyDescent="0.25">
      <c r="A416" s="47" t="s">
        <v>23</v>
      </c>
      <c r="B416" s="37" t="s">
        <v>13</v>
      </c>
      <c r="C416" s="34" t="s">
        <v>229</v>
      </c>
      <c r="D416" s="34" t="s">
        <v>236</v>
      </c>
      <c r="E416" s="34" t="s">
        <v>24</v>
      </c>
      <c r="F416" s="39">
        <v>1858050</v>
      </c>
      <c r="G416" s="39">
        <v>471000</v>
      </c>
      <c r="H416" s="39">
        <v>502000</v>
      </c>
      <c r="I416" s="39">
        <f t="shared" ref="I416" si="338">+J416-F416</f>
        <v>0</v>
      </c>
      <c r="J416" s="39">
        <f>1838000+20050</f>
        <v>1858050</v>
      </c>
      <c r="K416" s="39"/>
      <c r="L416" s="39">
        <f>1838000+20050</f>
        <v>1858050</v>
      </c>
      <c r="M416" s="39"/>
      <c r="N416" s="39">
        <f>-46150-448519.7</f>
        <v>-494669.7</v>
      </c>
      <c r="O416" s="39">
        <f>L416+N416</f>
        <v>1363380.3</v>
      </c>
      <c r="P416" s="39">
        <f>-99450-1263930</f>
        <v>-1363380</v>
      </c>
      <c r="Q416" s="39">
        <f>O416+P416</f>
        <v>0.30000000004656613</v>
      </c>
      <c r="R416" s="176"/>
    </row>
    <row r="417" spans="1:36" ht="36.75" x14ac:dyDescent="0.25">
      <c r="A417" s="47" t="s">
        <v>132</v>
      </c>
      <c r="B417" s="37" t="s">
        <v>13</v>
      </c>
      <c r="C417" s="34" t="s">
        <v>229</v>
      </c>
      <c r="D417" s="34" t="s">
        <v>236</v>
      </c>
      <c r="E417" s="34" t="s">
        <v>133</v>
      </c>
      <c r="F417" s="39">
        <f>F418</f>
        <v>0</v>
      </c>
      <c r="G417" s="39">
        <f>G418</f>
        <v>0</v>
      </c>
      <c r="H417" s="39">
        <f>H418</f>
        <v>0</v>
      </c>
      <c r="I417" s="39">
        <f t="shared" ref="I417:Q417" si="339">I418</f>
        <v>0</v>
      </c>
      <c r="J417" s="39">
        <f t="shared" si="339"/>
        <v>0</v>
      </c>
      <c r="K417" s="39">
        <f t="shared" si="339"/>
        <v>0</v>
      </c>
      <c r="L417" s="39">
        <f t="shared" si="339"/>
        <v>0</v>
      </c>
      <c r="M417" s="39"/>
      <c r="N417" s="39">
        <f t="shared" si="339"/>
        <v>0</v>
      </c>
      <c r="O417" s="39">
        <f t="shared" si="339"/>
        <v>0</v>
      </c>
      <c r="P417" s="39">
        <f t="shared" si="339"/>
        <v>0</v>
      </c>
      <c r="Q417" s="39">
        <f t="shared" si="339"/>
        <v>0</v>
      </c>
      <c r="R417" s="176"/>
    </row>
    <row r="418" spans="1:36" x14ac:dyDescent="0.25">
      <c r="A418" s="47" t="s">
        <v>134</v>
      </c>
      <c r="B418" s="37" t="s">
        <v>13</v>
      </c>
      <c r="C418" s="34" t="s">
        <v>229</v>
      </c>
      <c r="D418" s="34" t="s">
        <v>236</v>
      </c>
      <c r="E418" s="34" t="s">
        <v>135</v>
      </c>
      <c r="F418" s="39">
        <f>4000000-4000000</f>
        <v>0</v>
      </c>
      <c r="G418" s="39"/>
      <c r="H418" s="39"/>
      <c r="I418" s="39">
        <f t="shared" ref="I418" si="340">+J418-F418</f>
        <v>0</v>
      </c>
      <c r="J418" s="39"/>
      <c r="K418" s="39">
        <f t="shared" ref="K418" si="341">+L418-H418</f>
        <v>0</v>
      </c>
      <c r="L418" s="39"/>
      <c r="M418" s="39"/>
      <c r="N418" s="39">
        <f t="shared" ref="N418" si="342">+O418-K418</f>
        <v>0</v>
      </c>
      <c r="O418" s="39"/>
      <c r="P418" s="39">
        <f>+Q418-M418</f>
        <v>0</v>
      </c>
      <c r="Q418" s="39"/>
      <c r="R418" s="176"/>
    </row>
    <row r="419" spans="1:36" ht="24" x14ac:dyDescent="0.25">
      <c r="A419" s="75" t="s">
        <v>237</v>
      </c>
      <c r="B419" s="37" t="s">
        <v>13</v>
      </c>
      <c r="C419" s="34" t="s">
        <v>229</v>
      </c>
      <c r="D419" s="34" t="s">
        <v>238</v>
      </c>
      <c r="E419" s="34"/>
      <c r="F419" s="39">
        <f>F420+F422</f>
        <v>748000</v>
      </c>
      <c r="G419" s="39">
        <f>G420+G422</f>
        <v>785000</v>
      </c>
      <c r="H419" s="39">
        <f>H420+H422</f>
        <v>822315</v>
      </c>
      <c r="I419" s="39">
        <f t="shared" ref="I419:J419" si="343">I420+I422</f>
        <v>0</v>
      </c>
      <c r="J419" s="39">
        <f t="shared" si="343"/>
        <v>748000</v>
      </c>
      <c r="K419" s="39">
        <f t="shared" ref="K419:L419" si="344">K420+K422</f>
        <v>0</v>
      </c>
      <c r="L419" s="39">
        <f t="shared" si="344"/>
        <v>748000</v>
      </c>
      <c r="M419" s="39"/>
      <c r="N419" s="39">
        <f t="shared" ref="N419:O419" si="345">N420+N422</f>
        <v>0</v>
      </c>
      <c r="O419" s="39">
        <f t="shared" si="345"/>
        <v>748000</v>
      </c>
      <c r="P419" s="39">
        <f>P420+P422</f>
        <v>135949.75</v>
      </c>
      <c r="Q419" s="39">
        <f t="shared" ref="Q419" si="346">Q420+Q422</f>
        <v>883949.75</v>
      </c>
      <c r="R419" s="176"/>
    </row>
    <row r="420" spans="1:36" ht="60.75" x14ac:dyDescent="0.25">
      <c r="A420" s="41" t="s">
        <v>19</v>
      </c>
      <c r="B420" s="37" t="s">
        <v>13</v>
      </c>
      <c r="C420" s="34" t="s">
        <v>229</v>
      </c>
      <c r="D420" s="34" t="s">
        <v>238</v>
      </c>
      <c r="E420" s="34" t="s">
        <v>20</v>
      </c>
      <c r="F420" s="39">
        <f>F421</f>
        <v>445000</v>
      </c>
      <c r="G420" s="39">
        <f>G421</f>
        <v>476000</v>
      </c>
      <c r="H420" s="39">
        <f>H421</f>
        <v>512315</v>
      </c>
      <c r="I420" s="39">
        <f t="shared" ref="I420:Q420" si="347">I421</f>
        <v>56000</v>
      </c>
      <c r="J420" s="39">
        <f t="shared" si="347"/>
        <v>501000</v>
      </c>
      <c r="K420" s="39">
        <f t="shared" si="347"/>
        <v>-47000</v>
      </c>
      <c r="L420" s="39">
        <f t="shared" si="347"/>
        <v>454000</v>
      </c>
      <c r="M420" s="186" t="s">
        <v>273</v>
      </c>
      <c r="N420" s="39">
        <f t="shared" si="347"/>
        <v>56328.700000000004</v>
      </c>
      <c r="O420" s="39">
        <f t="shared" si="347"/>
        <v>510328.7</v>
      </c>
      <c r="P420" s="39">
        <f t="shared" si="347"/>
        <v>154400</v>
      </c>
      <c r="Q420" s="39">
        <f t="shared" si="347"/>
        <v>664728.69999999995</v>
      </c>
      <c r="R420" s="166"/>
    </row>
    <row r="421" spans="1:36" ht="24.75" x14ac:dyDescent="0.25">
      <c r="A421" s="36" t="s">
        <v>96</v>
      </c>
      <c r="B421" s="37" t="s">
        <v>13</v>
      </c>
      <c r="C421" s="34" t="s">
        <v>229</v>
      </c>
      <c r="D421" s="34" t="s">
        <v>238</v>
      </c>
      <c r="E421" s="34" t="s">
        <v>97</v>
      </c>
      <c r="F421" s="39">
        <v>445000</v>
      </c>
      <c r="G421" s="39">
        <v>476000</v>
      </c>
      <c r="H421" s="39">
        <f>512000+315</f>
        <v>512315</v>
      </c>
      <c r="I421" s="39">
        <f t="shared" ref="I421" si="348">+J421-F421</f>
        <v>56000</v>
      </c>
      <c r="J421" s="39">
        <v>501000</v>
      </c>
      <c r="K421" s="39">
        <v>-47000</v>
      </c>
      <c r="L421" s="39">
        <f>+J421+K421</f>
        <v>454000</v>
      </c>
      <c r="M421" s="186"/>
      <c r="N421" s="39">
        <f>50734.01+5594.69</f>
        <v>56328.700000000004</v>
      </c>
      <c r="O421" s="39">
        <f>L421+N421</f>
        <v>510328.7</v>
      </c>
      <c r="P421" s="39">
        <f>75000+79400</f>
        <v>154400</v>
      </c>
      <c r="Q421" s="39">
        <f>O421+P421</f>
        <v>664728.69999999995</v>
      </c>
    </row>
    <row r="422" spans="1:36" ht="24.75" x14ac:dyDescent="0.25">
      <c r="A422" s="41" t="s">
        <v>44</v>
      </c>
      <c r="B422" s="37" t="s">
        <v>13</v>
      </c>
      <c r="C422" s="34" t="s">
        <v>229</v>
      </c>
      <c r="D422" s="34" t="s">
        <v>238</v>
      </c>
      <c r="E422" s="34" t="s">
        <v>74</v>
      </c>
      <c r="F422" s="39">
        <f>F423</f>
        <v>303000</v>
      </c>
      <c r="G422" s="39">
        <f>G423</f>
        <v>309000</v>
      </c>
      <c r="H422" s="39">
        <f>H423</f>
        <v>310000</v>
      </c>
      <c r="I422" s="39">
        <f t="shared" ref="I422:Q422" si="349">I423</f>
        <v>-56000</v>
      </c>
      <c r="J422" s="39">
        <f t="shared" si="349"/>
        <v>247000</v>
      </c>
      <c r="K422" s="39">
        <f t="shared" si="349"/>
        <v>47000</v>
      </c>
      <c r="L422" s="39">
        <f t="shared" si="349"/>
        <v>294000</v>
      </c>
      <c r="M422" s="186"/>
      <c r="N422" s="39">
        <f t="shared" si="349"/>
        <v>-56328.700000000004</v>
      </c>
      <c r="O422" s="39">
        <f t="shared" si="349"/>
        <v>237671.3</v>
      </c>
      <c r="P422" s="39">
        <f t="shared" si="349"/>
        <v>-18450.25</v>
      </c>
      <c r="Q422" s="39">
        <f t="shared" si="349"/>
        <v>219221.05</v>
      </c>
    </row>
    <row r="423" spans="1:36" ht="34.5" customHeight="1" x14ac:dyDescent="0.25">
      <c r="A423" s="41" t="s">
        <v>23</v>
      </c>
      <c r="B423" s="37" t="s">
        <v>13</v>
      </c>
      <c r="C423" s="34" t="s">
        <v>229</v>
      </c>
      <c r="D423" s="34" t="s">
        <v>238</v>
      </c>
      <c r="E423" s="34" t="s">
        <v>24</v>
      </c>
      <c r="F423" s="39">
        <v>303000</v>
      </c>
      <c r="G423" s="39">
        <v>309000</v>
      </c>
      <c r="H423" s="39">
        <v>310000</v>
      </c>
      <c r="I423" s="39">
        <f t="shared" ref="I423" si="350">+J423-F423</f>
        <v>-56000</v>
      </c>
      <c r="J423" s="39">
        <f>98000+149000</f>
        <v>247000</v>
      </c>
      <c r="K423" s="39">
        <v>47000</v>
      </c>
      <c r="L423" s="39">
        <f>+J423+K423</f>
        <v>294000</v>
      </c>
      <c r="M423" s="186"/>
      <c r="N423" s="39">
        <f>-50734.01-5594.69</f>
        <v>-56328.700000000004</v>
      </c>
      <c r="O423" s="39">
        <f>L423+N423</f>
        <v>237671.3</v>
      </c>
      <c r="P423" s="39">
        <f>-19444.25+994</f>
        <v>-18450.25</v>
      </c>
      <c r="Q423" s="39">
        <f>O423+P423</f>
        <v>219221.05</v>
      </c>
      <c r="R423" s="165"/>
    </row>
    <row r="424" spans="1:36" x14ac:dyDescent="0.25">
      <c r="A424" s="50" t="s">
        <v>239</v>
      </c>
      <c r="B424" s="33" t="s">
        <v>13</v>
      </c>
      <c r="C424" s="29" t="s">
        <v>240</v>
      </c>
      <c r="D424" s="35"/>
      <c r="E424" s="34"/>
      <c r="F424" s="31">
        <f t="shared" ref="F424:Q425" si="351">+F425</f>
        <v>3166606</v>
      </c>
      <c r="G424" s="31">
        <f t="shared" si="351"/>
        <v>3899882</v>
      </c>
      <c r="H424" s="31">
        <f t="shared" si="351"/>
        <v>3987123</v>
      </c>
      <c r="I424" s="31">
        <f t="shared" si="351"/>
        <v>0</v>
      </c>
      <c r="J424" s="31">
        <f t="shared" si="351"/>
        <v>3166606</v>
      </c>
      <c r="K424" s="31">
        <f t="shared" si="351"/>
        <v>0</v>
      </c>
      <c r="L424" s="31">
        <f t="shared" si="351"/>
        <v>3166606</v>
      </c>
      <c r="M424" s="31"/>
      <c r="N424" s="31">
        <f t="shared" si="351"/>
        <v>0</v>
      </c>
      <c r="O424" s="31">
        <f t="shared" si="351"/>
        <v>3166606</v>
      </c>
      <c r="P424" s="31">
        <f t="shared" si="351"/>
        <v>0</v>
      </c>
      <c r="Q424" s="31">
        <f t="shared" si="351"/>
        <v>3166606</v>
      </c>
    </row>
    <row r="425" spans="1:36" x14ac:dyDescent="0.25">
      <c r="A425" s="50" t="s">
        <v>241</v>
      </c>
      <c r="B425" s="33" t="s">
        <v>13</v>
      </c>
      <c r="C425" s="29" t="s">
        <v>242</v>
      </c>
      <c r="D425" s="35"/>
      <c r="E425" s="34"/>
      <c r="F425" s="39">
        <f>+F426</f>
        <v>3166606</v>
      </c>
      <c r="G425" s="39">
        <f>+G426</f>
        <v>3899882</v>
      </c>
      <c r="H425" s="39">
        <f>+H426</f>
        <v>3987123</v>
      </c>
      <c r="I425" s="39">
        <f t="shared" si="351"/>
        <v>0</v>
      </c>
      <c r="J425" s="39">
        <f t="shared" si="351"/>
        <v>3166606</v>
      </c>
      <c r="K425" s="39">
        <f t="shared" si="351"/>
        <v>0</v>
      </c>
      <c r="L425" s="39">
        <f t="shared" si="351"/>
        <v>3166606</v>
      </c>
      <c r="M425" s="39"/>
      <c r="N425" s="39">
        <f t="shared" si="351"/>
        <v>0</v>
      </c>
      <c r="O425" s="39">
        <f t="shared" si="351"/>
        <v>3166606</v>
      </c>
      <c r="P425" s="39">
        <f t="shared" si="351"/>
        <v>0</v>
      </c>
      <c r="Q425" s="39">
        <f t="shared" si="351"/>
        <v>3166606</v>
      </c>
    </row>
    <row r="426" spans="1:36" ht="36" x14ac:dyDescent="0.25">
      <c r="A426" s="128" t="s">
        <v>243</v>
      </c>
      <c r="B426" s="37" t="s">
        <v>13</v>
      </c>
      <c r="C426" s="34" t="s">
        <v>242</v>
      </c>
      <c r="D426" s="35">
        <v>2300000</v>
      </c>
      <c r="E426" s="35"/>
      <c r="F426" s="39">
        <f>F427+F430</f>
        <v>3166606</v>
      </c>
      <c r="G426" s="39">
        <f>G427+G430</f>
        <v>3899882</v>
      </c>
      <c r="H426" s="39">
        <f>H427+H430</f>
        <v>3987123</v>
      </c>
      <c r="I426" s="39">
        <f t="shared" ref="I426:J426" si="352">I427+I430</f>
        <v>0</v>
      </c>
      <c r="J426" s="39">
        <f t="shared" si="352"/>
        <v>3166606</v>
      </c>
      <c r="K426" s="39">
        <f t="shared" ref="K426:L426" si="353">K427+K430</f>
        <v>0</v>
      </c>
      <c r="L426" s="39">
        <f t="shared" si="353"/>
        <v>3166606</v>
      </c>
      <c r="M426" s="39"/>
      <c r="N426" s="39">
        <f t="shared" ref="N426:O426" si="354">N427+N430</f>
        <v>0</v>
      </c>
      <c r="O426" s="39">
        <f t="shared" si="354"/>
        <v>3166606</v>
      </c>
      <c r="P426" s="39">
        <f t="shared" ref="P426:Q426" si="355">P427+P430</f>
        <v>0</v>
      </c>
      <c r="Q426" s="39">
        <f t="shared" si="355"/>
        <v>3166606</v>
      </c>
      <c r="AC426" s="9"/>
      <c r="AF426" s="9"/>
      <c r="AG426" s="9"/>
      <c r="AJ426" s="9">
        <f>Q426</f>
        <v>3166606</v>
      </c>
    </row>
    <row r="427" spans="1:36" ht="36.75" x14ac:dyDescent="0.25">
      <c r="A427" s="70" t="s">
        <v>244</v>
      </c>
      <c r="B427" s="37" t="s">
        <v>13</v>
      </c>
      <c r="C427" s="34" t="s">
        <v>242</v>
      </c>
      <c r="D427" s="34" t="s">
        <v>245</v>
      </c>
      <c r="E427" s="34"/>
      <c r="F427" s="39">
        <f>F428</f>
        <v>3166606</v>
      </c>
      <c r="G427" s="39">
        <f>G428</f>
        <v>3899882</v>
      </c>
      <c r="H427" s="39">
        <f>+H428</f>
        <v>3987123</v>
      </c>
      <c r="I427" s="39">
        <f t="shared" ref="I427:Q428" si="356">I428</f>
        <v>0</v>
      </c>
      <c r="J427" s="39">
        <f t="shared" si="356"/>
        <v>3166606</v>
      </c>
      <c r="K427" s="39">
        <f t="shared" si="356"/>
        <v>0</v>
      </c>
      <c r="L427" s="39">
        <f t="shared" si="356"/>
        <v>3166606</v>
      </c>
      <c r="M427" s="39"/>
      <c r="N427" s="39">
        <f t="shared" si="356"/>
        <v>0</v>
      </c>
      <c r="O427" s="39">
        <f t="shared" si="356"/>
        <v>3166606</v>
      </c>
      <c r="P427" s="39">
        <f t="shared" si="356"/>
        <v>0</v>
      </c>
      <c r="Q427" s="39">
        <f t="shared" si="356"/>
        <v>3166606</v>
      </c>
      <c r="Y427" s="9"/>
    </row>
    <row r="428" spans="1:36" ht="36.75" x14ac:dyDescent="0.25">
      <c r="A428" s="36" t="s">
        <v>246</v>
      </c>
      <c r="B428" s="37" t="s">
        <v>13</v>
      </c>
      <c r="C428" s="34" t="s">
        <v>242</v>
      </c>
      <c r="D428" s="34" t="s">
        <v>245</v>
      </c>
      <c r="E428" s="34" t="s">
        <v>247</v>
      </c>
      <c r="F428" s="39">
        <f>F429</f>
        <v>3166606</v>
      </c>
      <c r="G428" s="39">
        <f>G429</f>
        <v>3899882</v>
      </c>
      <c r="H428" s="39">
        <f>H429</f>
        <v>3987123</v>
      </c>
      <c r="I428" s="39">
        <f t="shared" si="356"/>
        <v>0</v>
      </c>
      <c r="J428" s="39">
        <f t="shared" si="356"/>
        <v>3166606</v>
      </c>
      <c r="K428" s="39">
        <f t="shared" si="356"/>
        <v>0</v>
      </c>
      <c r="L428" s="39">
        <f t="shared" si="356"/>
        <v>3166606</v>
      </c>
      <c r="M428" s="39"/>
      <c r="N428" s="39">
        <f t="shared" si="356"/>
        <v>0</v>
      </c>
      <c r="O428" s="39">
        <f t="shared" si="356"/>
        <v>3166606</v>
      </c>
      <c r="P428" s="39">
        <f t="shared" si="356"/>
        <v>0</v>
      </c>
      <c r="Q428" s="39">
        <f t="shared" si="356"/>
        <v>3166606</v>
      </c>
    </row>
    <row r="429" spans="1:36" x14ac:dyDescent="0.25">
      <c r="A429" s="75" t="s">
        <v>248</v>
      </c>
      <c r="B429" s="37" t="s">
        <v>13</v>
      </c>
      <c r="C429" s="34" t="s">
        <v>242</v>
      </c>
      <c r="D429" s="34" t="s">
        <v>245</v>
      </c>
      <c r="E429" s="35">
        <v>610</v>
      </c>
      <c r="F429" s="39">
        <f>3835369-63763-650000+45000</f>
        <v>3166606</v>
      </c>
      <c r="G429" s="39">
        <v>3899882</v>
      </c>
      <c r="H429" s="39">
        <v>3987123</v>
      </c>
      <c r="I429" s="39"/>
      <c r="J429" s="39">
        <v>3166606</v>
      </c>
      <c r="K429" s="39"/>
      <c r="L429" s="39">
        <v>3166606</v>
      </c>
      <c r="M429" s="39"/>
      <c r="N429" s="39"/>
      <c r="O429" s="39">
        <v>3166606</v>
      </c>
      <c r="P429" s="39"/>
      <c r="Q429" s="39">
        <v>3166606</v>
      </c>
    </row>
    <row r="430" spans="1:36" hidden="1" x14ac:dyDescent="0.25">
      <c r="A430" s="104" t="s">
        <v>249</v>
      </c>
      <c r="B430" s="37" t="s">
        <v>13</v>
      </c>
      <c r="C430" s="34" t="s">
        <v>242</v>
      </c>
      <c r="D430" s="34" t="s">
        <v>250</v>
      </c>
      <c r="E430" s="34"/>
      <c r="F430" s="39">
        <f t="shared" ref="F430:Q431" si="357">F431</f>
        <v>0</v>
      </c>
      <c r="G430" s="39">
        <f t="shared" si="357"/>
        <v>0</v>
      </c>
      <c r="H430" s="39">
        <f t="shared" si="357"/>
        <v>0</v>
      </c>
      <c r="I430" s="39">
        <f t="shared" si="357"/>
        <v>0</v>
      </c>
      <c r="J430" s="39">
        <f t="shared" si="357"/>
        <v>0</v>
      </c>
      <c r="K430" s="39">
        <f t="shared" si="357"/>
        <v>0</v>
      </c>
      <c r="L430" s="39">
        <f t="shared" si="357"/>
        <v>0</v>
      </c>
      <c r="M430" s="39"/>
      <c r="N430" s="39">
        <f t="shared" si="357"/>
        <v>0</v>
      </c>
      <c r="O430" s="39">
        <f t="shared" si="357"/>
        <v>0</v>
      </c>
      <c r="P430" s="39">
        <f t="shared" si="357"/>
        <v>0</v>
      </c>
      <c r="Q430" s="39">
        <f t="shared" si="357"/>
        <v>0</v>
      </c>
    </row>
    <row r="431" spans="1:36" ht="36.75" hidden="1" x14ac:dyDescent="0.25">
      <c r="A431" s="36" t="s">
        <v>246</v>
      </c>
      <c r="B431" s="37" t="s">
        <v>13</v>
      </c>
      <c r="C431" s="34" t="s">
        <v>242</v>
      </c>
      <c r="D431" s="34" t="s">
        <v>250</v>
      </c>
      <c r="E431" s="34" t="s">
        <v>247</v>
      </c>
      <c r="F431" s="39">
        <f t="shared" si="357"/>
        <v>0</v>
      </c>
      <c r="G431" s="39">
        <f t="shared" si="357"/>
        <v>0</v>
      </c>
      <c r="H431" s="39">
        <f t="shared" si="357"/>
        <v>0</v>
      </c>
      <c r="I431" s="39">
        <f t="shared" si="357"/>
        <v>0</v>
      </c>
      <c r="J431" s="39">
        <f t="shared" si="357"/>
        <v>0</v>
      </c>
      <c r="K431" s="39">
        <f t="shared" si="357"/>
        <v>0</v>
      </c>
      <c r="L431" s="39">
        <f t="shared" si="357"/>
        <v>0</v>
      </c>
      <c r="M431" s="39"/>
      <c r="N431" s="39">
        <f t="shared" si="357"/>
        <v>0</v>
      </c>
      <c r="O431" s="39">
        <f t="shared" si="357"/>
        <v>0</v>
      </c>
      <c r="P431" s="39">
        <f t="shared" si="357"/>
        <v>0</v>
      </c>
      <c r="Q431" s="39">
        <f t="shared" si="357"/>
        <v>0</v>
      </c>
    </row>
    <row r="432" spans="1:36" hidden="1" x14ac:dyDescent="0.25">
      <c r="A432" s="75" t="s">
        <v>248</v>
      </c>
      <c r="B432" s="37" t="s">
        <v>13</v>
      </c>
      <c r="C432" s="34" t="s">
        <v>242</v>
      </c>
      <c r="D432" s="34" t="s">
        <v>250</v>
      </c>
      <c r="E432" s="35">
        <v>610</v>
      </c>
      <c r="F432" s="39"/>
      <c r="G432" s="39"/>
      <c r="H432" s="39"/>
      <c r="I432" s="39">
        <f t="shared" ref="I432" si="358">+J432-F432</f>
        <v>0</v>
      </c>
      <c r="J432" s="39"/>
      <c r="K432" s="39">
        <f t="shared" ref="K432" si="359">+L432-H432</f>
        <v>0</v>
      </c>
      <c r="L432" s="39"/>
      <c r="M432" s="39"/>
      <c r="N432" s="39">
        <f t="shared" ref="N432" si="360">+O432-K432</f>
        <v>0</v>
      </c>
      <c r="O432" s="39"/>
      <c r="P432" s="39">
        <f>+Q432-M432</f>
        <v>0</v>
      </c>
      <c r="Q432" s="39"/>
    </row>
    <row r="433" spans="1:63" s="91" customFormat="1" ht="24.75" x14ac:dyDescent="0.25">
      <c r="A433" s="81" t="s">
        <v>182</v>
      </c>
      <c r="B433" s="82" t="s">
        <v>13</v>
      </c>
      <c r="C433" s="83" t="s">
        <v>257</v>
      </c>
      <c r="D433" s="44"/>
      <c r="E433" s="84"/>
      <c r="F433" s="85">
        <f>F434</f>
        <v>1925000</v>
      </c>
      <c r="G433" s="85">
        <f>G434</f>
        <v>300000</v>
      </c>
      <c r="H433" s="85">
        <f>H434</f>
        <v>130000</v>
      </c>
      <c r="I433" s="85">
        <f t="shared" ref="I433:Q433" si="361">I434</f>
        <v>0</v>
      </c>
      <c r="J433" s="85">
        <f t="shared" si="361"/>
        <v>1925000</v>
      </c>
      <c r="K433" s="85">
        <f t="shared" si="361"/>
        <v>0</v>
      </c>
      <c r="L433" s="85">
        <f t="shared" si="361"/>
        <v>1925000</v>
      </c>
      <c r="M433" s="85"/>
      <c r="N433" s="85">
        <f t="shared" si="361"/>
        <v>0</v>
      </c>
      <c r="O433" s="85">
        <f t="shared" si="361"/>
        <v>1925000</v>
      </c>
      <c r="P433" s="85">
        <f t="shared" si="361"/>
        <v>-359894.57</v>
      </c>
      <c r="Q433" s="85">
        <f t="shared" si="361"/>
        <v>1565105.43</v>
      </c>
      <c r="R433" s="179">
        <f>Q433-O433</f>
        <v>-359894.57000000007</v>
      </c>
    </row>
    <row r="434" spans="1:63" s="91" customFormat="1" ht="24.75" x14ac:dyDescent="0.25">
      <c r="A434" s="81" t="s">
        <v>183</v>
      </c>
      <c r="B434" s="82" t="s">
        <v>13</v>
      </c>
      <c r="C434" s="83" t="s">
        <v>184</v>
      </c>
      <c r="D434" s="44"/>
      <c r="E434" s="84"/>
      <c r="F434" s="85">
        <f>F436</f>
        <v>1925000</v>
      </c>
      <c r="G434" s="85">
        <f>G436</f>
        <v>300000</v>
      </c>
      <c r="H434" s="85">
        <f>H436</f>
        <v>130000</v>
      </c>
      <c r="I434" s="85">
        <f t="shared" ref="I434:J434" si="362">I436</f>
        <v>0</v>
      </c>
      <c r="J434" s="85">
        <f t="shared" si="362"/>
        <v>1925000</v>
      </c>
      <c r="K434" s="85">
        <f t="shared" ref="K434:L434" si="363">K436</f>
        <v>0</v>
      </c>
      <c r="L434" s="85">
        <f t="shared" si="363"/>
        <v>1925000</v>
      </c>
      <c r="M434" s="85"/>
      <c r="N434" s="85">
        <f t="shared" ref="N434:O434" si="364">N436</f>
        <v>0</v>
      </c>
      <c r="O434" s="85">
        <f t="shared" si="364"/>
        <v>1925000</v>
      </c>
      <c r="P434" s="85">
        <f t="shared" ref="P434:Q434" si="365">P436</f>
        <v>-359894.57</v>
      </c>
      <c r="Q434" s="85">
        <f t="shared" si="365"/>
        <v>1565105.43</v>
      </c>
      <c r="R434" s="149"/>
    </row>
    <row r="435" spans="1:63" s="91" customFormat="1" ht="36.75" x14ac:dyDescent="0.25">
      <c r="A435" s="51" t="s">
        <v>47</v>
      </c>
      <c r="B435" s="86" t="s">
        <v>13</v>
      </c>
      <c r="C435" s="87" t="s">
        <v>184</v>
      </c>
      <c r="D435" s="52" t="s">
        <v>48</v>
      </c>
      <c r="E435" s="84"/>
      <c r="F435" s="85">
        <f>+F434</f>
        <v>1925000</v>
      </c>
      <c r="G435" s="85"/>
      <c r="H435" s="85"/>
      <c r="I435" s="85">
        <f t="shared" ref="I435:J435" si="366">+I434</f>
        <v>0</v>
      </c>
      <c r="J435" s="85">
        <f t="shared" si="366"/>
        <v>1925000</v>
      </c>
      <c r="K435" s="85">
        <f t="shared" ref="K435:L435" si="367">+K434</f>
        <v>0</v>
      </c>
      <c r="L435" s="85">
        <f t="shared" si="367"/>
        <v>1925000</v>
      </c>
      <c r="M435" s="85"/>
      <c r="N435" s="85">
        <f t="shared" ref="N435:O435" si="368">+N434</f>
        <v>0</v>
      </c>
      <c r="O435" s="85">
        <f t="shared" si="368"/>
        <v>1925000</v>
      </c>
      <c r="P435" s="85">
        <f t="shared" ref="P435:Q435" si="369">+P434</f>
        <v>-359894.57</v>
      </c>
      <c r="Q435" s="85">
        <f t="shared" si="369"/>
        <v>1565105.43</v>
      </c>
      <c r="R435" s="149"/>
      <c r="T435" s="91">
        <f>Q435</f>
        <v>1565105.43</v>
      </c>
    </row>
    <row r="436" spans="1:63" s="91" customFormat="1" x14ac:dyDescent="0.25">
      <c r="A436" s="70" t="s">
        <v>185</v>
      </c>
      <c r="B436" s="37" t="s">
        <v>13</v>
      </c>
      <c r="C436" s="87" t="s">
        <v>184</v>
      </c>
      <c r="D436" s="52" t="s">
        <v>186</v>
      </c>
      <c r="E436" s="84"/>
      <c r="F436" s="85">
        <f>F437</f>
        <v>1925000</v>
      </c>
      <c r="G436" s="85">
        <f t="shared" ref="G436:Q437" si="370">G437</f>
        <v>300000</v>
      </c>
      <c r="H436" s="85">
        <f t="shared" si="370"/>
        <v>130000</v>
      </c>
      <c r="I436" s="85">
        <f t="shared" si="370"/>
        <v>0</v>
      </c>
      <c r="J436" s="85">
        <f t="shared" si="370"/>
        <v>1925000</v>
      </c>
      <c r="K436" s="85">
        <f t="shared" si="370"/>
        <v>0</v>
      </c>
      <c r="L436" s="85">
        <f t="shared" si="370"/>
        <v>1925000</v>
      </c>
      <c r="M436" s="85"/>
      <c r="N436" s="85">
        <f t="shared" si="370"/>
        <v>0</v>
      </c>
      <c r="O436" s="85">
        <f t="shared" si="370"/>
        <v>1925000</v>
      </c>
      <c r="P436" s="85">
        <f t="shared" si="370"/>
        <v>-359894.57</v>
      </c>
      <c r="Q436" s="85">
        <f t="shared" si="370"/>
        <v>1565105.43</v>
      </c>
      <c r="R436" s="149"/>
    </row>
    <row r="437" spans="1:63" s="91" customFormat="1" ht="24.75" x14ac:dyDescent="0.25">
      <c r="A437" s="41" t="s">
        <v>187</v>
      </c>
      <c r="B437" s="37" t="s">
        <v>13</v>
      </c>
      <c r="C437" s="87" t="s">
        <v>184</v>
      </c>
      <c r="D437" s="52" t="s">
        <v>186</v>
      </c>
      <c r="E437" s="84">
        <v>700</v>
      </c>
      <c r="F437" s="85">
        <f>F438</f>
        <v>1925000</v>
      </c>
      <c r="G437" s="85">
        <f t="shared" si="370"/>
        <v>300000</v>
      </c>
      <c r="H437" s="85">
        <f t="shared" si="370"/>
        <v>130000</v>
      </c>
      <c r="I437" s="85">
        <f t="shared" si="370"/>
        <v>0</v>
      </c>
      <c r="J437" s="85">
        <f t="shared" si="370"/>
        <v>1925000</v>
      </c>
      <c r="K437" s="85">
        <f t="shared" si="370"/>
        <v>0</v>
      </c>
      <c r="L437" s="85">
        <f t="shared" si="370"/>
        <v>1925000</v>
      </c>
      <c r="M437" s="85"/>
      <c r="N437" s="85">
        <f t="shared" si="370"/>
        <v>0</v>
      </c>
      <c r="O437" s="85">
        <f t="shared" si="370"/>
        <v>1925000</v>
      </c>
      <c r="P437" s="85">
        <f t="shared" si="370"/>
        <v>-359894.57</v>
      </c>
      <c r="Q437" s="85">
        <f t="shared" si="370"/>
        <v>1565105.43</v>
      </c>
      <c r="R437" s="149"/>
    </row>
    <row r="438" spans="1:63" s="91" customFormat="1" x14ac:dyDescent="0.25">
      <c r="A438" s="88" t="s">
        <v>188</v>
      </c>
      <c r="B438" s="37" t="s">
        <v>13</v>
      </c>
      <c r="C438" s="89" t="s">
        <v>184</v>
      </c>
      <c r="D438" s="52" t="s">
        <v>186</v>
      </c>
      <c r="E438" s="84">
        <v>730</v>
      </c>
      <c r="F438" s="85">
        <v>1925000</v>
      </c>
      <c r="G438" s="85">
        <v>300000</v>
      </c>
      <c r="H438" s="85">
        <v>130000</v>
      </c>
      <c r="I438" s="85"/>
      <c r="J438" s="85">
        <v>1925000</v>
      </c>
      <c r="K438" s="85"/>
      <c r="L438" s="85">
        <v>1925000</v>
      </c>
      <c r="M438" s="85"/>
      <c r="N438" s="85"/>
      <c r="O438" s="85">
        <f>L438+N438</f>
        <v>1925000</v>
      </c>
      <c r="P438" s="85">
        <v>-359894.57</v>
      </c>
      <c r="Q438" s="85">
        <f>O438+P438</f>
        <v>1565105.43</v>
      </c>
      <c r="R438" s="149"/>
    </row>
    <row r="439" spans="1:63" x14ac:dyDescent="0.25">
      <c r="R439" s="150"/>
      <c r="S439" s="124"/>
      <c r="T439" s="124"/>
      <c r="U439" s="124"/>
      <c r="V439" s="124"/>
      <c r="W439" s="124"/>
      <c r="X439" s="124"/>
      <c r="Y439" s="124"/>
      <c r="Z439" s="124"/>
      <c r="AA439" s="124"/>
      <c r="AB439" s="124"/>
      <c r="AC439" s="124"/>
      <c r="AD439" s="124"/>
      <c r="AE439" s="124"/>
      <c r="AF439" s="124"/>
      <c r="AG439" s="124"/>
      <c r="AH439" s="124"/>
      <c r="AI439" s="124"/>
      <c r="AJ439" s="124"/>
      <c r="AK439" s="124"/>
      <c r="AL439" s="124"/>
      <c r="AM439" s="124"/>
      <c r="AN439" s="124"/>
      <c r="AO439" s="124"/>
      <c r="AP439" s="124"/>
      <c r="AQ439" s="124"/>
      <c r="AR439" s="124"/>
      <c r="AS439" s="124"/>
      <c r="AT439" s="124"/>
      <c r="AU439" s="124"/>
      <c r="AV439" s="124"/>
      <c r="AW439" s="124"/>
      <c r="AX439" s="124"/>
      <c r="AY439" s="124"/>
      <c r="AZ439" s="124"/>
      <c r="BA439" s="124"/>
      <c r="BB439" s="124"/>
      <c r="BC439" s="124"/>
      <c r="BD439" s="124"/>
      <c r="BE439" s="124"/>
      <c r="BF439" s="124"/>
      <c r="BG439" s="124"/>
      <c r="BH439" s="124"/>
      <c r="BI439" s="124"/>
      <c r="BJ439" s="124">
        <f>SUM(BJ11:BJ438)</f>
        <v>0</v>
      </c>
      <c r="BK439" s="124">
        <f>SUM(BK11:BK438)</f>
        <v>0</v>
      </c>
    </row>
    <row r="440" spans="1:63" x14ac:dyDescent="0.25">
      <c r="R440" s="144"/>
      <c r="S440" s="9"/>
      <c r="T440" s="9"/>
      <c r="U440" s="9"/>
      <c r="V440" s="9"/>
      <c r="W440" s="9"/>
      <c r="X440" s="9"/>
      <c r="Y440" s="9"/>
      <c r="Z440" s="9"/>
      <c r="AA440" s="9"/>
      <c r="AB440" s="9"/>
      <c r="AC440" s="9"/>
      <c r="AD440" s="9"/>
      <c r="AE440" s="9"/>
      <c r="AF440" s="9"/>
      <c r="AG440" s="9"/>
    </row>
    <row r="446" spans="1:63" x14ac:dyDescent="0.25">
      <c r="E446" s="7"/>
    </row>
    <row r="447" spans="1:63" x14ac:dyDescent="0.25">
      <c r="E447" s="7"/>
    </row>
    <row r="448" spans="1:63" x14ac:dyDescent="0.25">
      <c r="E448" s="7"/>
    </row>
    <row r="449" spans="5:5" x14ac:dyDescent="0.25">
      <c r="E449" s="7"/>
    </row>
    <row r="450" spans="5:5" x14ac:dyDescent="0.25">
      <c r="E450" s="7"/>
    </row>
    <row r="451" spans="5:5" x14ac:dyDescent="0.25">
      <c r="E451" s="7"/>
    </row>
    <row r="452" spans="5:5" x14ac:dyDescent="0.25">
      <c r="E452" s="7"/>
    </row>
    <row r="453" spans="5:5" x14ac:dyDescent="0.25">
      <c r="E453" s="7"/>
    </row>
    <row r="454" spans="5:5" x14ac:dyDescent="0.25">
      <c r="E454" s="7"/>
    </row>
    <row r="455" spans="5:5" x14ac:dyDescent="0.25">
      <c r="E455" s="7"/>
    </row>
    <row r="456" spans="5:5" x14ac:dyDescent="0.25">
      <c r="E456" s="7"/>
    </row>
    <row r="457" spans="5:5" x14ac:dyDescent="0.25">
      <c r="E457" s="7"/>
    </row>
    <row r="458" spans="5:5" x14ac:dyDescent="0.25">
      <c r="E458" s="7"/>
    </row>
    <row r="459" spans="5:5" x14ac:dyDescent="0.25">
      <c r="E459" s="7"/>
    </row>
    <row r="460" spans="5:5" x14ac:dyDescent="0.25">
      <c r="E460" s="7"/>
    </row>
    <row r="461" spans="5:5" x14ac:dyDescent="0.25">
      <c r="E461" s="7"/>
    </row>
    <row r="462" spans="5:5" x14ac:dyDescent="0.25">
      <c r="E462" s="7"/>
    </row>
    <row r="463" spans="5:5" x14ac:dyDescent="0.25">
      <c r="E463" s="7"/>
    </row>
    <row r="464" spans="5:5" x14ac:dyDescent="0.25">
      <c r="E464" s="7"/>
    </row>
    <row r="465" spans="5:5" x14ac:dyDescent="0.25">
      <c r="E465" s="7"/>
    </row>
    <row r="466" spans="5:5" x14ac:dyDescent="0.25">
      <c r="E466" s="7"/>
    </row>
    <row r="467" spans="5:5" x14ac:dyDescent="0.25">
      <c r="E467" s="7"/>
    </row>
    <row r="468" spans="5:5" x14ac:dyDescent="0.25">
      <c r="E468" s="7"/>
    </row>
    <row r="469" spans="5:5" x14ac:dyDescent="0.25">
      <c r="E469" s="7"/>
    </row>
    <row r="470" spans="5:5" x14ac:dyDescent="0.25">
      <c r="E470" s="7"/>
    </row>
    <row r="471" spans="5:5" x14ac:dyDescent="0.25">
      <c r="E471" s="7"/>
    </row>
    <row r="472" spans="5:5" x14ac:dyDescent="0.25">
      <c r="E472" s="7"/>
    </row>
    <row r="473" spans="5:5" x14ac:dyDescent="0.25">
      <c r="E473" s="7"/>
    </row>
    <row r="474" spans="5:5" x14ac:dyDescent="0.25">
      <c r="E474" s="7"/>
    </row>
    <row r="475" spans="5:5" x14ac:dyDescent="0.25">
      <c r="E475" s="7"/>
    </row>
    <row r="476" spans="5:5" x14ac:dyDescent="0.25">
      <c r="E476" s="7"/>
    </row>
    <row r="477" spans="5:5" x14ac:dyDescent="0.25">
      <c r="E477" s="7"/>
    </row>
    <row r="478" spans="5:5" x14ac:dyDescent="0.25">
      <c r="E478" s="7"/>
    </row>
    <row r="479" spans="5:5" x14ac:dyDescent="0.25">
      <c r="E479" s="7"/>
    </row>
    <row r="480" spans="5:5" x14ac:dyDescent="0.25">
      <c r="E480" s="7"/>
    </row>
    <row r="481" spans="5:5" x14ac:dyDescent="0.25">
      <c r="E481" s="7"/>
    </row>
    <row r="482" spans="5:5" x14ac:dyDescent="0.25">
      <c r="E482" s="7"/>
    </row>
    <row r="483" spans="5:5" x14ac:dyDescent="0.25">
      <c r="E483" s="7"/>
    </row>
    <row r="484" spans="5:5" x14ac:dyDescent="0.25">
      <c r="E484" s="7"/>
    </row>
    <row r="485" spans="5:5" x14ac:dyDescent="0.25">
      <c r="E485" s="7"/>
    </row>
    <row r="486" spans="5:5" x14ac:dyDescent="0.25">
      <c r="E486" s="7"/>
    </row>
    <row r="487" spans="5:5" x14ac:dyDescent="0.25">
      <c r="E487" s="7"/>
    </row>
    <row r="488" spans="5:5" x14ac:dyDescent="0.25">
      <c r="E488" s="7"/>
    </row>
    <row r="489" spans="5:5" x14ac:dyDescent="0.25">
      <c r="E489" s="7"/>
    </row>
    <row r="490" spans="5:5" x14ac:dyDescent="0.25">
      <c r="E490" s="7"/>
    </row>
    <row r="491" spans="5:5" x14ac:dyDescent="0.25">
      <c r="E491" s="7"/>
    </row>
    <row r="492" spans="5:5" x14ac:dyDescent="0.25">
      <c r="E492" s="7"/>
    </row>
    <row r="493" spans="5:5" x14ac:dyDescent="0.25">
      <c r="E493" s="7"/>
    </row>
    <row r="494" spans="5:5" x14ac:dyDescent="0.25">
      <c r="E494" s="7"/>
    </row>
    <row r="495" spans="5:5" x14ac:dyDescent="0.25">
      <c r="E495" s="7"/>
    </row>
    <row r="496" spans="5:5" x14ac:dyDescent="0.25">
      <c r="E496" s="7"/>
    </row>
    <row r="497" spans="5:5" x14ac:dyDescent="0.25">
      <c r="E497" s="7"/>
    </row>
    <row r="498" spans="5:5" x14ac:dyDescent="0.25">
      <c r="E498" s="7"/>
    </row>
    <row r="499" spans="5:5" x14ac:dyDescent="0.25">
      <c r="E499" s="7"/>
    </row>
    <row r="500" spans="5:5" x14ac:dyDescent="0.25">
      <c r="E500" s="7"/>
    </row>
    <row r="501" spans="5:5" x14ac:dyDescent="0.25">
      <c r="E501" s="7"/>
    </row>
    <row r="502" spans="5:5" x14ac:dyDescent="0.25">
      <c r="E502" s="7"/>
    </row>
    <row r="503" spans="5:5" x14ac:dyDescent="0.25">
      <c r="E503" s="7"/>
    </row>
    <row r="504" spans="5:5" x14ac:dyDescent="0.25">
      <c r="E504" s="7"/>
    </row>
    <row r="505" spans="5:5" x14ac:dyDescent="0.25">
      <c r="E505" s="7"/>
    </row>
    <row r="506" spans="5:5" x14ac:dyDescent="0.25">
      <c r="E506" s="7"/>
    </row>
    <row r="507" spans="5:5" x14ac:dyDescent="0.25">
      <c r="E507" s="7"/>
    </row>
    <row r="508" spans="5:5" x14ac:dyDescent="0.25">
      <c r="E508" s="7"/>
    </row>
    <row r="509" spans="5:5" x14ac:dyDescent="0.25">
      <c r="E509" s="7"/>
    </row>
    <row r="510" spans="5:5" x14ac:dyDescent="0.25">
      <c r="E510" s="7"/>
    </row>
    <row r="511" spans="5:5" x14ac:dyDescent="0.25">
      <c r="E511" s="7"/>
    </row>
    <row r="512" spans="5:5" x14ac:dyDescent="0.25">
      <c r="E512" s="7"/>
    </row>
    <row r="513" spans="5:5" x14ac:dyDescent="0.25">
      <c r="E513" s="7"/>
    </row>
    <row r="514" spans="5:5" x14ac:dyDescent="0.25">
      <c r="E514" s="7"/>
    </row>
    <row r="515" spans="5:5" x14ac:dyDescent="0.25">
      <c r="E515" s="7"/>
    </row>
    <row r="516" spans="5:5" x14ac:dyDescent="0.25">
      <c r="E516" s="7"/>
    </row>
    <row r="517" spans="5:5" x14ac:dyDescent="0.25">
      <c r="E517" s="7"/>
    </row>
    <row r="518" spans="5:5" x14ac:dyDescent="0.25">
      <c r="E518" s="7"/>
    </row>
    <row r="519" spans="5:5" x14ac:dyDescent="0.25">
      <c r="E519" s="7"/>
    </row>
    <row r="520" spans="5:5" x14ac:dyDescent="0.25">
      <c r="E520" s="7"/>
    </row>
    <row r="521" spans="5:5" x14ac:dyDescent="0.25">
      <c r="E521" s="7"/>
    </row>
    <row r="522" spans="5:5" x14ac:dyDescent="0.25">
      <c r="E522" s="7"/>
    </row>
    <row r="523" spans="5:5" x14ac:dyDescent="0.25">
      <c r="E523" s="7"/>
    </row>
    <row r="524" spans="5:5" x14ac:dyDescent="0.25">
      <c r="E524" s="7"/>
    </row>
    <row r="525" spans="5:5" x14ac:dyDescent="0.25">
      <c r="E525" s="7"/>
    </row>
    <row r="526" spans="5:5" x14ac:dyDescent="0.25">
      <c r="E526" s="7"/>
    </row>
    <row r="527" spans="5:5" x14ac:dyDescent="0.25">
      <c r="E527" s="7"/>
    </row>
    <row r="528" spans="5:5" x14ac:dyDescent="0.25">
      <c r="E528" s="7"/>
    </row>
    <row r="529" spans="5:5" x14ac:dyDescent="0.25">
      <c r="E529" s="7"/>
    </row>
    <row r="530" spans="5:5" x14ac:dyDescent="0.25">
      <c r="E530" s="7"/>
    </row>
    <row r="531" spans="5:5" x14ac:dyDescent="0.25">
      <c r="E531" s="7"/>
    </row>
    <row r="532" spans="5:5" x14ac:dyDescent="0.25">
      <c r="E532" s="7"/>
    </row>
    <row r="533" spans="5:5" x14ac:dyDescent="0.25">
      <c r="E533" s="7"/>
    </row>
    <row r="534" spans="5:5" x14ac:dyDescent="0.25">
      <c r="E534" s="7"/>
    </row>
    <row r="535" spans="5:5" x14ac:dyDescent="0.25">
      <c r="E535" s="7"/>
    </row>
    <row r="536" spans="5:5" x14ac:dyDescent="0.25">
      <c r="E536" s="7"/>
    </row>
    <row r="537" spans="5:5" x14ac:dyDescent="0.25">
      <c r="E537" s="7"/>
    </row>
    <row r="538" spans="5:5" x14ac:dyDescent="0.25">
      <c r="E538" s="7"/>
    </row>
    <row r="539" spans="5:5" x14ac:dyDescent="0.25">
      <c r="E539" s="7"/>
    </row>
    <row r="540" spans="5:5" x14ac:dyDescent="0.25">
      <c r="E540" s="7"/>
    </row>
    <row r="541" spans="5:5" x14ac:dyDescent="0.25">
      <c r="E541" s="7"/>
    </row>
    <row r="542" spans="5:5" x14ac:dyDescent="0.25">
      <c r="E542" s="7"/>
    </row>
    <row r="543" spans="5:5" x14ac:dyDescent="0.25">
      <c r="E543" s="7"/>
    </row>
    <row r="544" spans="5:5" x14ac:dyDescent="0.25">
      <c r="E544" s="7"/>
    </row>
    <row r="545" spans="5:5" x14ac:dyDescent="0.25">
      <c r="E545" s="7"/>
    </row>
    <row r="546" spans="5:5" x14ac:dyDescent="0.25">
      <c r="E546" s="7"/>
    </row>
    <row r="547" spans="5:5" x14ac:dyDescent="0.25">
      <c r="E547" s="7"/>
    </row>
    <row r="548" spans="5:5" x14ac:dyDescent="0.25">
      <c r="E548" s="7"/>
    </row>
    <row r="549" spans="5:5" x14ac:dyDescent="0.25">
      <c r="E549" s="7"/>
    </row>
    <row r="550" spans="5:5" x14ac:dyDescent="0.25">
      <c r="E550" s="7"/>
    </row>
    <row r="551" spans="5:5" x14ac:dyDescent="0.25">
      <c r="E551" s="7"/>
    </row>
    <row r="552" spans="5:5" x14ac:dyDescent="0.25">
      <c r="E552" s="7"/>
    </row>
    <row r="553" spans="5:5" x14ac:dyDescent="0.25">
      <c r="E553" s="7"/>
    </row>
    <row r="554" spans="5:5" x14ac:dyDescent="0.25">
      <c r="E554" s="7"/>
    </row>
    <row r="555" spans="5:5" x14ac:dyDescent="0.25">
      <c r="E555" s="7"/>
    </row>
    <row r="556" spans="5:5" x14ac:dyDescent="0.25">
      <c r="E556" s="7"/>
    </row>
    <row r="557" spans="5:5" x14ac:dyDescent="0.25">
      <c r="E557" s="7"/>
    </row>
    <row r="558" spans="5:5" x14ac:dyDescent="0.25">
      <c r="E558" s="7"/>
    </row>
    <row r="559" spans="5:5" x14ac:dyDescent="0.25">
      <c r="E559" s="7"/>
    </row>
    <row r="560" spans="5:5" x14ac:dyDescent="0.25">
      <c r="E560" s="7"/>
    </row>
    <row r="561" spans="5:5" x14ac:dyDescent="0.25">
      <c r="E561" s="7"/>
    </row>
    <row r="562" spans="5:5" x14ac:dyDescent="0.25">
      <c r="E562" s="7"/>
    </row>
    <row r="563" spans="5:5" x14ac:dyDescent="0.25">
      <c r="E563" s="7"/>
    </row>
    <row r="564" spans="5:5" x14ac:dyDescent="0.25">
      <c r="E564" s="7"/>
    </row>
    <row r="565" spans="5:5" x14ac:dyDescent="0.25">
      <c r="E565" s="7"/>
    </row>
    <row r="566" spans="5:5" x14ac:dyDescent="0.25">
      <c r="E566" s="7"/>
    </row>
    <row r="567" spans="5:5" x14ac:dyDescent="0.25">
      <c r="E567" s="7"/>
    </row>
    <row r="568" spans="5:5" x14ac:dyDescent="0.25">
      <c r="E568" s="7"/>
    </row>
    <row r="569" spans="5:5" x14ac:dyDescent="0.25">
      <c r="E569" s="7"/>
    </row>
    <row r="570" spans="5:5" x14ac:dyDescent="0.25">
      <c r="E570" s="7"/>
    </row>
    <row r="571" spans="5:5" x14ac:dyDescent="0.25">
      <c r="E571" s="7"/>
    </row>
    <row r="572" spans="5:5" x14ac:dyDescent="0.25">
      <c r="E572" s="7"/>
    </row>
    <row r="573" spans="5:5" x14ac:dyDescent="0.25">
      <c r="E573" s="7"/>
    </row>
    <row r="574" spans="5:5" x14ac:dyDescent="0.25">
      <c r="E574" s="7"/>
    </row>
    <row r="575" spans="5:5" x14ac:dyDescent="0.25">
      <c r="E575" s="7"/>
    </row>
    <row r="576" spans="5:5" x14ac:dyDescent="0.25">
      <c r="E576" s="7"/>
    </row>
    <row r="577" spans="5:5" x14ac:dyDescent="0.25">
      <c r="E577" s="7"/>
    </row>
    <row r="578" spans="5:5" x14ac:dyDescent="0.25">
      <c r="E578" s="7"/>
    </row>
    <row r="579" spans="5:5" x14ac:dyDescent="0.25">
      <c r="E579" s="7"/>
    </row>
    <row r="580" spans="5:5" x14ac:dyDescent="0.25">
      <c r="E580" s="7"/>
    </row>
    <row r="581" spans="5:5" x14ac:dyDescent="0.25">
      <c r="E581" s="7"/>
    </row>
    <row r="582" spans="5:5" x14ac:dyDescent="0.25">
      <c r="E582" s="7"/>
    </row>
    <row r="583" spans="5:5" x14ac:dyDescent="0.25">
      <c r="E583" s="7"/>
    </row>
    <row r="584" spans="5:5" x14ac:dyDescent="0.25">
      <c r="E584" s="7"/>
    </row>
    <row r="585" spans="5:5" x14ac:dyDescent="0.25">
      <c r="E585" s="7"/>
    </row>
    <row r="586" spans="5:5" x14ac:dyDescent="0.25">
      <c r="E586" s="7"/>
    </row>
    <row r="587" spans="5:5" x14ac:dyDescent="0.25">
      <c r="E587" s="7"/>
    </row>
    <row r="588" spans="5:5" x14ac:dyDescent="0.25">
      <c r="E588" s="7"/>
    </row>
    <row r="589" spans="5:5" x14ac:dyDescent="0.25">
      <c r="E589" s="7"/>
    </row>
    <row r="590" spans="5:5" x14ac:dyDescent="0.25">
      <c r="E590" s="7"/>
    </row>
    <row r="591" spans="5:5" x14ac:dyDescent="0.25">
      <c r="E591" s="7"/>
    </row>
    <row r="592" spans="5:5" x14ac:dyDescent="0.25">
      <c r="E592" s="7"/>
    </row>
    <row r="593" spans="5:5" x14ac:dyDescent="0.25">
      <c r="E593" s="7"/>
    </row>
    <row r="594" spans="5:5" x14ac:dyDescent="0.25">
      <c r="E594" s="7"/>
    </row>
    <row r="595" spans="5:5" x14ac:dyDescent="0.25">
      <c r="E595" s="7"/>
    </row>
    <row r="596" spans="5:5" x14ac:dyDescent="0.25">
      <c r="E596" s="7"/>
    </row>
    <row r="597" spans="5:5" x14ac:dyDescent="0.25">
      <c r="E597" s="7"/>
    </row>
    <row r="598" spans="5:5" x14ac:dyDescent="0.25">
      <c r="E598" s="7"/>
    </row>
    <row r="599" spans="5:5" x14ac:dyDescent="0.25">
      <c r="E599" s="7"/>
    </row>
    <row r="600" spans="5:5" x14ac:dyDescent="0.25">
      <c r="E600" s="7"/>
    </row>
    <row r="601" spans="5:5" x14ac:dyDescent="0.25">
      <c r="E601" s="7"/>
    </row>
    <row r="602" spans="5:5" x14ac:dyDescent="0.25">
      <c r="E602" s="7"/>
    </row>
    <row r="603" spans="5:5" x14ac:dyDescent="0.25">
      <c r="E603" s="7"/>
    </row>
    <row r="604" spans="5:5" x14ac:dyDescent="0.25">
      <c r="E604" s="7"/>
    </row>
    <row r="605" spans="5:5" x14ac:dyDescent="0.25">
      <c r="E605" s="7"/>
    </row>
    <row r="606" spans="5:5" x14ac:dyDescent="0.25">
      <c r="E606" s="7"/>
    </row>
    <row r="607" spans="5:5" x14ac:dyDescent="0.25">
      <c r="E607" s="7"/>
    </row>
    <row r="608" spans="5:5" x14ac:dyDescent="0.25">
      <c r="E608" s="7"/>
    </row>
    <row r="609" spans="5:5" x14ac:dyDescent="0.25">
      <c r="E609" s="7"/>
    </row>
    <row r="610" spans="5:5" x14ac:dyDescent="0.25">
      <c r="E610" s="7"/>
    </row>
    <row r="611" spans="5:5" x14ac:dyDescent="0.25">
      <c r="E611" s="7"/>
    </row>
    <row r="612" spans="5:5" x14ac:dyDescent="0.25">
      <c r="E612" s="7"/>
    </row>
    <row r="613" spans="5:5" x14ac:dyDescent="0.25">
      <c r="E613" s="7"/>
    </row>
    <row r="614" spans="5:5" x14ac:dyDescent="0.25">
      <c r="E614" s="7"/>
    </row>
    <row r="615" spans="5:5" x14ac:dyDescent="0.25">
      <c r="E615" s="7"/>
    </row>
    <row r="616" spans="5:5" x14ac:dyDescent="0.25">
      <c r="E616" s="7"/>
    </row>
    <row r="617" spans="5:5" x14ac:dyDescent="0.25">
      <c r="E617" s="7"/>
    </row>
    <row r="618" spans="5:5" x14ac:dyDescent="0.25">
      <c r="E618" s="7"/>
    </row>
    <row r="619" spans="5:5" x14ac:dyDescent="0.25">
      <c r="E619" s="7"/>
    </row>
    <row r="620" spans="5:5" x14ac:dyDescent="0.25">
      <c r="E620" s="7"/>
    </row>
    <row r="621" spans="5:5" x14ac:dyDescent="0.25">
      <c r="E621" s="7"/>
    </row>
    <row r="622" spans="5:5" x14ac:dyDescent="0.25">
      <c r="E622" s="7"/>
    </row>
    <row r="623" spans="5:5" x14ac:dyDescent="0.25">
      <c r="E623" s="7"/>
    </row>
    <row r="624" spans="5:5" x14ac:dyDescent="0.25">
      <c r="E624" s="7"/>
    </row>
    <row r="625" spans="5:5" x14ac:dyDescent="0.25">
      <c r="E625" s="7"/>
    </row>
    <row r="626" spans="5:5" x14ac:dyDescent="0.25">
      <c r="E626" s="7"/>
    </row>
    <row r="627" spans="5:5" x14ac:dyDescent="0.25">
      <c r="E627" s="7"/>
    </row>
    <row r="628" spans="5:5" x14ac:dyDescent="0.25">
      <c r="E628" s="7"/>
    </row>
    <row r="629" spans="5:5" x14ac:dyDescent="0.25">
      <c r="E629" s="7"/>
    </row>
    <row r="630" spans="5:5" x14ac:dyDescent="0.25">
      <c r="E630" s="7"/>
    </row>
    <row r="631" spans="5:5" x14ac:dyDescent="0.25">
      <c r="E631" s="7"/>
    </row>
    <row r="632" spans="5:5" x14ac:dyDescent="0.25">
      <c r="E632" s="7"/>
    </row>
    <row r="633" spans="5:5" x14ac:dyDescent="0.25">
      <c r="E633" s="7"/>
    </row>
    <row r="634" spans="5:5" x14ac:dyDescent="0.25">
      <c r="E634" s="7"/>
    </row>
    <row r="635" spans="5:5" x14ac:dyDescent="0.25">
      <c r="E635" s="7"/>
    </row>
    <row r="636" spans="5:5" x14ac:dyDescent="0.25">
      <c r="E636" s="7"/>
    </row>
    <row r="637" spans="5:5" x14ac:dyDescent="0.25">
      <c r="E637" s="7"/>
    </row>
    <row r="638" spans="5:5" x14ac:dyDescent="0.25">
      <c r="E638" s="7"/>
    </row>
    <row r="639" spans="5:5" x14ac:dyDescent="0.25">
      <c r="E639" s="7"/>
    </row>
    <row r="640" spans="5:5" x14ac:dyDescent="0.25">
      <c r="E640" s="7"/>
    </row>
    <row r="641" spans="5:5" x14ac:dyDescent="0.25">
      <c r="E641" s="7"/>
    </row>
    <row r="642" spans="5:5" x14ac:dyDescent="0.25">
      <c r="E642" s="7"/>
    </row>
    <row r="643" spans="5:5" x14ac:dyDescent="0.25">
      <c r="E643" s="7"/>
    </row>
    <row r="644" spans="5:5" x14ac:dyDescent="0.25">
      <c r="E644" s="7"/>
    </row>
    <row r="645" spans="5:5" x14ac:dyDescent="0.25">
      <c r="E645" s="7"/>
    </row>
    <row r="646" spans="5:5" x14ac:dyDescent="0.25">
      <c r="E646" s="7"/>
    </row>
    <row r="647" spans="5:5" x14ac:dyDescent="0.25">
      <c r="E647" s="7"/>
    </row>
    <row r="648" spans="5:5" x14ac:dyDescent="0.25">
      <c r="E648" s="7"/>
    </row>
    <row r="649" spans="5:5" x14ac:dyDescent="0.25">
      <c r="E649" s="7"/>
    </row>
    <row r="650" spans="5:5" x14ac:dyDescent="0.25">
      <c r="E650" s="7"/>
    </row>
    <row r="651" spans="5:5" x14ac:dyDescent="0.25">
      <c r="E651" s="7"/>
    </row>
    <row r="652" spans="5:5" x14ac:dyDescent="0.25">
      <c r="E652" s="7"/>
    </row>
    <row r="653" spans="5:5" x14ac:dyDescent="0.25">
      <c r="E653" s="7"/>
    </row>
    <row r="654" spans="5:5" x14ac:dyDescent="0.25">
      <c r="E654" s="7"/>
    </row>
    <row r="655" spans="5:5" x14ac:dyDescent="0.25">
      <c r="E655" s="7"/>
    </row>
    <row r="656" spans="5:5" x14ac:dyDescent="0.25">
      <c r="E656" s="7"/>
    </row>
    <row r="657" spans="5:5" x14ac:dyDescent="0.25">
      <c r="E657" s="7"/>
    </row>
    <row r="658" spans="5:5" x14ac:dyDescent="0.25">
      <c r="E658" s="7"/>
    </row>
    <row r="659" spans="5:5" x14ac:dyDescent="0.25">
      <c r="E659" s="7"/>
    </row>
    <row r="660" spans="5:5" x14ac:dyDescent="0.25">
      <c r="E660" s="7"/>
    </row>
    <row r="661" spans="5:5" x14ac:dyDescent="0.25">
      <c r="E661" s="7"/>
    </row>
    <row r="662" spans="5:5" x14ac:dyDescent="0.25">
      <c r="E662" s="7"/>
    </row>
    <row r="663" spans="5:5" x14ac:dyDescent="0.25">
      <c r="E663" s="7"/>
    </row>
    <row r="664" spans="5:5" x14ac:dyDescent="0.25">
      <c r="E664" s="7"/>
    </row>
    <row r="665" spans="5:5" x14ac:dyDescent="0.25">
      <c r="E665" s="7"/>
    </row>
    <row r="666" spans="5:5" x14ac:dyDescent="0.25">
      <c r="E666" s="7"/>
    </row>
    <row r="667" spans="5:5" x14ac:dyDescent="0.25">
      <c r="E667" s="7"/>
    </row>
    <row r="668" spans="5:5" x14ac:dyDescent="0.25">
      <c r="E668" s="7"/>
    </row>
    <row r="669" spans="5:5" x14ac:dyDescent="0.25">
      <c r="E669" s="7"/>
    </row>
    <row r="670" spans="5:5" x14ac:dyDescent="0.25">
      <c r="E670" s="7"/>
    </row>
    <row r="671" spans="5:5" x14ac:dyDescent="0.25">
      <c r="E671" s="7"/>
    </row>
    <row r="672" spans="5:5" x14ac:dyDescent="0.25">
      <c r="E672" s="7"/>
    </row>
    <row r="673" spans="5:5" x14ac:dyDescent="0.25">
      <c r="E673" s="7"/>
    </row>
    <row r="674" spans="5:5" x14ac:dyDescent="0.25">
      <c r="E674" s="7"/>
    </row>
    <row r="675" spans="5:5" x14ac:dyDescent="0.25">
      <c r="E675" s="7"/>
    </row>
    <row r="676" spans="5:5" x14ac:dyDescent="0.25">
      <c r="E676" s="7"/>
    </row>
    <row r="677" spans="5:5" x14ac:dyDescent="0.25">
      <c r="E677" s="7"/>
    </row>
    <row r="678" spans="5:5" x14ac:dyDescent="0.25">
      <c r="E678" s="7"/>
    </row>
  </sheetData>
  <mergeCells count="6">
    <mergeCell ref="M410:M413"/>
    <mergeCell ref="M420:M423"/>
    <mergeCell ref="A4:G4"/>
    <mergeCell ref="A5:F5"/>
    <mergeCell ref="M72:M76"/>
    <mergeCell ref="M347:M352"/>
  </mergeCells>
  <pageMargins left="0.59055118110236227" right="0" top="0.19685039370078741" bottom="0" header="0" footer="0"/>
  <pageSetup paperSize="9" scale="2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2015-01-14T13:46:04Z</dcterms:modified>
</cp:coreProperties>
</file>